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24226"/>
  <mc:AlternateContent xmlns:mc="http://schemas.openxmlformats.org/markup-compatibility/2006">
    <mc:Choice Requires="x15">
      <x15ac:absPath xmlns:x15ac="http://schemas.microsoft.com/office/spreadsheetml/2010/11/ac" url="E:\RO\COVID-19\"/>
    </mc:Choice>
  </mc:AlternateContent>
  <xr:revisionPtr revIDLastSave="0" documentId="13_ncr:1_{6A007914-9926-4084-81A2-20BC87D887C7}" xr6:coauthVersionLast="45" xr6:coauthVersionMax="45" xr10:uidLastSave="{00000000-0000-0000-0000-000000000000}"/>
  <bookViews>
    <workbookView xWindow="3705" yWindow="540" windowWidth="24150" windowHeight="14835" tabRatio="790" xr2:uid="{00000000-000D-0000-FFFF-FFFF00000000}"/>
  </bookViews>
  <sheets>
    <sheet name="Instructions" sheetId="9" r:id="rId1"/>
    <sheet name="Assumptions Worksheet" sheetId="18" r:id="rId2"/>
    <sheet name="Sales Forecast Worksheet" sheetId="17" r:id="rId3"/>
    <sheet name="P&amp;L Input_Worksheet" sheetId="25" r:id="rId4"/>
    <sheet name="P&amp;L-Summary View" sheetId="23" r:id="rId5"/>
  </sheets>
  <definedNames>
    <definedName name="_xlnm.Print_Area" localSheetId="1">'Assumptions Worksheet'!$A$3:$A$51</definedName>
    <definedName name="_xlnm.Print_Area" localSheetId="0">Instructions!#REF!</definedName>
    <definedName name="_xlnm.Print_Area" localSheetId="3">'P&amp;L Input_Worksheet'!$A$1:$T$134</definedName>
    <definedName name="_xlnm.Print_Area" localSheetId="4">'P&amp;L-Summary View'!$B$1:$S$56</definedName>
    <definedName name="_xlnm.Print_Area" localSheetId="2">'Sales Forecast Worksheet'!$E$3:$L$39</definedName>
    <definedName name="_xlnm.Print_Titles" localSheetId="3">'P&amp;L Input_Worksheet'!$1:$6</definedName>
    <definedName name="_xlnm.Print_Titles" localSheetId="4">'P&amp;L-Summary View'!$1:$6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23" l="1"/>
  <c r="O5" i="23"/>
  <c r="L5" i="23"/>
  <c r="I5" i="23"/>
  <c r="O53" i="23"/>
  <c r="L53" i="23"/>
  <c r="I53" i="23"/>
  <c r="O48" i="23"/>
  <c r="L48" i="23"/>
  <c r="I48" i="23"/>
  <c r="O46" i="23"/>
  <c r="L46" i="23"/>
  <c r="I46" i="23"/>
  <c r="O41" i="23"/>
  <c r="L41" i="23"/>
  <c r="I41" i="23"/>
  <c r="O39" i="23"/>
  <c r="L39" i="23"/>
  <c r="I39" i="23"/>
  <c r="O37" i="23"/>
  <c r="L37" i="23"/>
  <c r="I37" i="23"/>
  <c r="O35" i="23"/>
  <c r="L35" i="23"/>
  <c r="I35" i="23"/>
  <c r="O33" i="23"/>
  <c r="L33" i="23"/>
  <c r="I33" i="23"/>
  <c r="O54" i="25"/>
  <c r="O53" i="25"/>
  <c r="L54" i="25"/>
  <c r="L53" i="25"/>
  <c r="I50" i="23" l="1"/>
  <c r="L50" i="23"/>
  <c r="O50" i="23"/>
  <c r="O31" i="23"/>
  <c r="L31" i="23"/>
  <c r="I31" i="23"/>
  <c r="P24" i="23"/>
  <c r="O24" i="23"/>
  <c r="M24" i="23"/>
  <c r="L24" i="23"/>
  <c r="J24" i="23"/>
  <c r="I24" i="23"/>
  <c r="P22" i="23"/>
  <c r="M22" i="23"/>
  <c r="J22" i="23"/>
  <c r="O22" i="23"/>
  <c r="O26" i="23" s="1"/>
  <c r="L22" i="23"/>
  <c r="I22" i="23"/>
  <c r="P16" i="23"/>
  <c r="O16" i="23"/>
  <c r="P15" i="23"/>
  <c r="O15" i="23"/>
  <c r="M16" i="23"/>
  <c r="L16" i="23"/>
  <c r="M15" i="23"/>
  <c r="L15" i="23"/>
  <c r="J16" i="23"/>
  <c r="I16" i="23"/>
  <c r="J15" i="23"/>
  <c r="I15" i="23"/>
  <c r="O11" i="23"/>
  <c r="O10" i="23"/>
  <c r="O9" i="23"/>
  <c r="O8" i="23"/>
  <c r="L11" i="23"/>
  <c r="L10" i="23"/>
  <c r="L9" i="23"/>
  <c r="L8" i="23"/>
  <c r="I11" i="23"/>
  <c r="I10" i="23"/>
  <c r="I9" i="23"/>
  <c r="I8" i="23"/>
  <c r="I77" i="25"/>
  <c r="O30" i="25"/>
  <c r="O31" i="25"/>
  <c r="L29" i="25"/>
  <c r="L30" i="25"/>
  <c r="L31" i="25"/>
  <c r="I29" i="25"/>
  <c r="I30" i="25"/>
  <c r="I31" i="25"/>
  <c r="R31" i="25" s="1"/>
  <c r="I40" i="25"/>
  <c r="I41" i="25"/>
  <c r="I42" i="25"/>
  <c r="I43" i="25"/>
  <c r="I44" i="25"/>
  <c r="I45" i="25"/>
  <c r="I46" i="25"/>
  <c r="I47" i="25"/>
  <c r="I48" i="25"/>
  <c r="I49" i="25"/>
  <c r="L40" i="25"/>
  <c r="L41" i="25"/>
  <c r="L42" i="25"/>
  <c r="L43" i="25"/>
  <c r="L44" i="25"/>
  <c r="L45" i="25"/>
  <c r="L46" i="25"/>
  <c r="L47" i="25"/>
  <c r="L48" i="25"/>
  <c r="L49" i="25"/>
  <c r="O40" i="25"/>
  <c r="O41" i="25"/>
  <c r="O42" i="25"/>
  <c r="O43" i="25"/>
  <c r="O44" i="25"/>
  <c r="O45" i="25"/>
  <c r="O46" i="25"/>
  <c r="O47" i="25"/>
  <c r="O48" i="25"/>
  <c r="I53" i="25"/>
  <c r="I54" i="25"/>
  <c r="L55" i="25"/>
  <c r="M24" i="18"/>
  <c r="M20" i="18"/>
  <c r="M16" i="18"/>
  <c r="F25" i="17"/>
  <c r="F26" i="17"/>
  <c r="F24" i="17"/>
  <c r="F19" i="17"/>
  <c r="F20" i="17"/>
  <c r="F18" i="17"/>
  <c r="F13" i="17"/>
  <c r="F14" i="17"/>
  <c r="F12" i="17"/>
  <c r="F8" i="17"/>
  <c r="O29" i="25"/>
  <c r="E4" i="17"/>
  <c r="M27" i="17"/>
  <c r="L27" i="17"/>
  <c r="K27" i="17"/>
  <c r="J27" i="17"/>
  <c r="I27" i="17"/>
  <c r="H27" i="17"/>
  <c r="G27" i="17"/>
  <c r="G48" i="18"/>
  <c r="I48" i="18" s="1"/>
  <c r="K48" i="18" s="1"/>
  <c r="O121" i="25"/>
  <c r="O120" i="25"/>
  <c r="O119" i="25"/>
  <c r="O118" i="25"/>
  <c r="L121" i="25"/>
  <c r="L120" i="25"/>
  <c r="L119" i="25"/>
  <c r="L118" i="25"/>
  <c r="I121" i="25"/>
  <c r="I120" i="25"/>
  <c r="I119" i="25"/>
  <c r="I118" i="25"/>
  <c r="O104" i="25"/>
  <c r="O103" i="25"/>
  <c r="O102" i="25"/>
  <c r="O101" i="25"/>
  <c r="O100" i="25"/>
  <c r="O99" i="25"/>
  <c r="O98" i="25"/>
  <c r="L104" i="25"/>
  <c r="L103" i="25"/>
  <c r="L102" i="25"/>
  <c r="L101" i="25"/>
  <c r="L100" i="25"/>
  <c r="L99" i="25"/>
  <c r="L98" i="25"/>
  <c r="I104" i="25"/>
  <c r="I103" i="25"/>
  <c r="I102" i="25"/>
  <c r="I101" i="25"/>
  <c r="I100" i="25"/>
  <c r="I99" i="25"/>
  <c r="O111" i="25"/>
  <c r="O110" i="25"/>
  <c r="O109" i="25"/>
  <c r="O108" i="25"/>
  <c r="L111" i="25"/>
  <c r="L110" i="25"/>
  <c r="L109" i="25"/>
  <c r="L108" i="25"/>
  <c r="I111" i="25"/>
  <c r="I110" i="25"/>
  <c r="I109" i="25"/>
  <c r="I108" i="25"/>
  <c r="G132" i="18"/>
  <c r="I131" i="18" s="1"/>
  <c r="K131" i="18" s="1"/>
  <c r="G119" i="18"/>
  <c r="I118" i="18" s="1"/>
  <c r="K118" i="18" s="1"/>
  <c r="I98" i="25"/>
  <c r="O91" i="25"/>
  <c r="O90" i="25"/>
  <c r="O89" i="25"/>
  <c r="L91" i="25"/>
  <c r="L90" i="25"/>
  <c r="L89" i="25"/>
  <c r="I91" i="25"/>
  <c r="I90" i="25"/>
  <c r="J90" i="25" s="1"/>
  <c r="I89" i="25"/>
  <c r="O85" i="25"/>
  <c r="O84" i="25"/>
  <c r="O83" i="25"/>
  <c r="O82" i="25"/>
  <c r="O81" i="25"/>
  <c r="O80" i="25"/>
  <c r="O79" i="25"/>
  <c r="O78" i="25"/>
  <c r="O77" i="25"/>
  <c r="L85" i="25"/>
  <c r="L84" i="25"/>
  <c r="L83" i="25"/>
  <c r="L82" i="25"/>
  <c r="L81" i="25"/>
  <c r="L80" i="25"/>
  <c r="L79" i="25"/>
  <c r="L78" i="25"/>
  <c r="L77" i="25"/>
  <c r="I85" i="25"/>
  <c r="I84" i="25"/>
  <c r="I83" i="25"/>
  <c r="I82" i="25"/>
  <c r="I81" i="25"/>
  <c r="J81" i="25" s="1"/>
  <c r="I80" i="25"/>
  <c r="I79" i="25"/>
  <c r="I78" i="25"/>
  <c r="O75" i="25"/>
  <c r="O74" i="25"/>
  <c r="O73" i="25"/>
  <c r="O72" i="25"/>
  <c r="L75" i="25"/>
  <c r="L74" i="25"/>
  <c r="L73" i="25"/>
  <c r="L72" i="25"/>
  <c r="I75" i="25"/>
  <c r="I74" i="25"/>
  <c r="I73" i="25"/>
  <c r="I72" i="25"/>
  <c r="J72" i="25" s="1"/>
  <c r="O68" i="25"/>
  <c r="O67" i="25"/>
  <c r="O66" i="25"/>
  <c r="O65" i="25"/>
  <c r="L68" i="25"/>
  <c r="L67" i="25"/>
  <c r="L66" i="25"/>
  <c r="L65" i="25"/>
  <c r="I68" i="25"/>
  <c r="I67" i="25"/>
  <c r="I66" i="25"/>
  <c r="I65" i="25"/>
  <c r="O61" i="25"/>
  <c r="O60" i="25"/>
  <c r="O59" i="25"/>
  <c r="O58" i="25"/>
  <c r="L61" i="25"/>
  <c r="L60" i="25"/>
  <c r="L59" i="25"/>
  <c r="L58" i="25"/>
  <c r="I61" i="25"/>
  <c r="J61" i="25" s="1"/>
  <c r="I60" i="25"/>
  <c r="I59" i="25"/>
  <c r="I58" i="25"/>
  <c r="O49" i="25"/>
  <c r="R76" i="25"/>
  <c r="O55" i="25"/>
  <c r="R24" i="25"/>
  <c r="O12" i="25"/>
  <c r="L12" i="25"/>
  <c r="I12" i="25"/>
  <c r="R11" i="25"/>
  <c r="R10" i="25"/>
  <c r="R9" i="25"/>
  <c r="R8" i="25"/>
  <c r="R50" i="23" l="1"/>
  <c r="R22" i="23"/>
  <c r="L26" i="23"/>
  <c r="I26" i="23"/>
  <c r="J103" i="25"/>
  <c r="O122" i="25"/>
  <c r="M31" i="25"/>
  <c r="R29" i="25"/>
  <c r="R30" i="25"/>
  <c r="M11" i="25"/>
  <c r="I55" i="25"/>
  <c r="J55" i="25" s="1"/>
  <c r="R119" i="25"/>
  <c r="R102" i="25"/>
  <c r="L122" i="25"/>
  <c r="M122" i="25" s="1"/>
  <c r="R118" i="25"/>
  <c r="M119" i="25"/>
  <c r="M120" i="25"/>
  <c r="I122" i="25"/>
  <c r="J122" i="25" s="1"/>
  <c r="R111" i="25"/>
  <c r="R121" i="25"/>
  <c r="R120" i="25"/>
  <c r="J120" i="25"/>
  <c r="R109" i="25"/>
  <c r="O112" i="25"/>
  <c r="P112" i="25" s="1"/>
  <c r="O69" i="25"/>
  <c r="P69" i="25" s="1"/>
  <c r="R104" i="25"/>
  <c r="J111" i="25"/>
  <c r="M99" i="25"/>
  <c r="J9" i="25"/>
  <c r="L112" i="25"/>
  <c r="L128" i="25" s="1"/>
  <c r="M128" i="25" s="1"/>
  <c r="J30" i="25"/>
  <c r="M73" i="25"/>
  <c r="M77" i="25"/>
  <c r="I16" i="25"/>
  <c r="M44" i="25"/>
  <c r="R60" i="25"/>
  <c r="R67" i="25"/>
  <c r="M110" i="25"/>
  <c r="J11" i="25"/>
  <c r="J31" i="25"/>
  <c r="M61" i="25"/>
  <c r="R68" i="25"/>
  <c r="J89" i="25"/>
  <c r="R98" i="25"/>
  <c r="R41" i="25"/>
  <c r="R49" i="25"/>
  <c r="R59" i="25"/>
  <c r="M81" i="25"/>
  <c r="R99" i="25"/>
  <c r="R108" i="25"/>
  <c r="R103" i="25"/>
  <c r="L92" i="25"/>
  <c r="M92" i="25" s="1"/>
  <c r="M54" i="25"/>
  <c r="O92" i="25"/>
  <c r="P92" i="25" s="1"/>
  <c r="M9" i="25"/>
  <c r="L62" i="25"/>
  <c r="M62" i="25" s="1"/>
  <c r="M103" i="25"/>
  <c r="O62" i="25"/>
  <c r="P62" i="25" s="1"/>
  <c r="L69" i="25"/>
  <c r="M69" i="25" s="1"/>
  <c r="R91" i="25"/>
  <c r="O105" i="25"/>
  <c r="P105" i="25" s="1"/>
  <c r="R47" i="25"/>
  <c r="R40" i="25"/>
  <c r="R48" i="25"/>
  <c r="R74" i="25"/>
  <c r="R110" i="25"/>
  <c r="J53" i="25"/>
  <c r="R53" i="25"/>
  <c r="R58" i="25"/>
  <c r="R65" i="25"/>
  <c r="R85" i="25"/>
  <c r="I92" i="25"/>
  <c r="J92" i="25" s="1"/>
  <c r="R82" i="25"/>
  <c r="R101" i="25"/>
  <c r="O50" i="25"/>
  <c r="P50" i="25" s="1"/>
  <c r="P101" i="25"/>
  <c r="M47" i="25"/>
  <c r="J67" i="25"/>
  <c r="R90" i="25"/>
  <c r="L50" i="25"/>
  <c r="M50" i="25" s="1"/>
  <c r="R84" i="25"/>
  <c r="O86" i="25"/>
  <c r="P86" i="25" s="1"/>
  <c r="R89" i="25"/>
  <c r="J99" i="25"/>
  <c r="L86" i="25"/>
  <c r="M86" i="25" s="1"/>
  <c r="R77" i="25"/>
  <c r="R83" i="25"/>
  <c r="J84" i="25"/>
  <c r="R81" i="25"/>
  <c r="R75" i="25"/>
  <c r="R78" i="25"/>
  <c r="R80" i="25"/>
  <c r="R73" i="25"/>
  <c r="R79" i="25"/>
  <c r="R72" i="25"/>
  <c r="J78" i="25"/>
  <c r="J75" i="25"/>
  <c r="R66" i="25"/>
  <c r="I69" i="25"/>
  <c r="J69" i="25" s="1"/>
  <c r="R46" i="25"/>
  <c r="R44" i="25"/>
  <c r="R45" i="25"/>
  <c r="R43" i="25"/>
  <c r="I50" i="25"/>
  <c r="J50" i="25" s="1"/>
  <c r="J42" i="25"/>
  <c r="R42" i="25"/>
  <c r="J45" i="25"/>
  <c r="P48" i="25"/>
  <c r="P122" i="25"/>
  <c r="P29" i="25"/>
  <c r="P76" i="25"/>
  <c r="P9" i="25"/>
  <c r="P53" i="25"/>
  <c r="O16" i="25"/>
  <c r="P110" i="25"/>
  <c r="P79" i="25"/>
  <c r="P24" i="25"/>
  <c r="P42" i="25"/>
  <c r="P58" i="25"/>
  <c r="P108" i="25"/>
  <c r="M24" i="25"/>
  <c r="M90" i="25"/>
  <c r="M100" i="25"/>
  <c r="M78" i="25"/>
  <c r="M10" i="25"/>
  <c r="M60" i="25"/>
  <c r="M121" i="25"/>
  <c r="M42" i="25"/>
  <c r="M76" i="25"/>
  <c r="M53" i="25"/>
  <c r="M84" i="25"/>
  <c r="M75" i="25"/>
  <c r="L15" i="25"/>
  <c r="M45" i="25"/>
  <c r="M85" i="25"/>
  <c r="M91" i="25"/>
  <c r="M131" i="25"/>
  <c r="M8" i="25"/>
  <c r="L16" i="25"/>
  <c r="M46" i="25"/>
  <c r="M55" i="25"/>
  <c r="M67" i="25"/>
  <c r="M83" i="25"/>
  <c r="J82" i="25"/>
  <c r="J109" i="25"/>
  <c r="J49" i="25"/>
  <c r="J59" i="25"/>
  <c r="J68" i="25"/>
  <c r="J104" i="25"/>
  <c r="J118" i="25"/>
  <c r="J10" i="25"/>
  <c r="J24" i="25"/>
  <c r="J43" i="25"/>
  <c r="J8" i="25"/>
  <c r="I15" i="25"/>
  <c r="I17" i="25" s="1"/>
  <c r="J60" i="25"/>
  <c r="J80" i="25"/>
  <c r="J108" i="25"/>
  <c r="J119" i="25"/>
  <c r="J73" i="25"/>
  <c r="J121" i="25"/>
  <c r="J40" i="25"/>
  <c r="J41" i="25"/>
  <c r="J44" i="25"/>
  <c r="J47" i="25"/>
  <c r="J66" i="25"/>
  <c r="J74" i="25"/>
  <c r="J102" i="25"/>
  <c r="P55" i="25"/>
  <c r="P40" i="25"/>
  <c r="P61" i="25"/>
  <c r="P100" i="25"/>
  <c r="P103" i="25"/>
  <c r="L105" i="25"/>
  <c r="R12" i="25"/>
  <c r="P45" i="25"/>
  <c r="P47" i="25"/>
  <c r="P54" i="25"/>
  <c r="R61" i="25"/>
  <c r="P67" i="25"/>
  <c r="P131" i="25"/>
  <c r="P109" i="25"/>
  <c r="P102" i="25"/>
  <c r="P80" i="25"/>
  <c r="P49" i="25"/>
  <c r="P41" i="25"/>
  <c r="P119" i="25"/>
  <c r="P90" i="25"/>
  <c r="P84" i="25"/>
  <c r="P75" i="25"/>
  <c r="P44" i="25"/>
  <c r="O15" i="25"/>
  <c r="P8" i="25"/>
  <c r="P121" i="25"/>
  <c r="P78" i="25"/>
  <c r="P118" i="25"/>
  <c r="P111" i="25"/>
  <c r="P104" i="25"/>
  <c r="P89" i="25"/>
  <c r="P83" i="25"/>
  <c r="P82" i="25"/>
  <c r="P74" i="25"/>
  <c r="P68" i="25"/>
  <c r="P43" i="25"/>
  <c r="P66" i="25"/>
  <c r="P99" i="25"/>
  <c r="P120" i="25"/>
  <c r="P98" i="25"/>
  <c r="P77" i="25"/>
  <c r="P46" i="25"/>
  <c r="P10" i="25"/>
  <c r="P72" i="25"/>
  <c r="P59" i="25"/>
  <c r="P30" i="25"/>
  <c r="R54" i="25"/>
  <c r="P60" i="25"/>
  <c r="P65" i="25"/>
  <c r="I86" i="25"/>
  <c r="J83" i="25"/>
  <c r="P11" i="25"/>
  <c r="P85" i="25"/>
  <c r="P31" i="25"/>
  <c r="P73" i="25"/>
  <c r="P81" i="25"/>
  <c r="P91" i="25"/>
  <c r="R100" i="25"/>
  <c r="I105" i="25"/>
  <c r="I62" i="25"/>
  <c r="J29" i="25"/>
  <c r="M43" i="25"/>
  <c r="J48" i="25"/>
  <c r="J54" i="25"/>
  <c r="J58" i="25"/>
  <c r="J65" i="25"/>
  <c r="M68" i="25"/>
  <c r="M74" i="25"/>
  <c r="J79" i="25"/>
  <c r="M82" i="25"/>
  <c r="M89" i="25"/>
  <c r="J101" i="25"/>
  <c r="M104" i="25"/>
  <c r="M108" i="25"/>
  <c r="M111" i="25"/>
  <c r="M118" i="25"/>
  <c r="M29" i="25"/>
  <c r="M40" i="25"/>
  <c r="M48" i="25"/>
  <c r="M58" i="25"/>
  <c r="M65" i="25"/>
  <c r="J76" i="25"/>
  <c r="M79" i="25"/>
  <c r="J85" i="25"/>
  <c r="J91" i="25"/>
  <c r="J100" i="25"/>
  <c r="M101" i="25"/>
  <c r="J131" i="25"/>
  <c r="M30" i="25"/>
  <c r="M41" i="25"/>
  <c r="J46" i="25"/>
  <c r="M49" i="25"/>
  <c r="M59" i="25"/>
  <c r="M66" i="25"/>
  <c r="M72" i="25"/>
  <c r="J77" i="25"/>
  <c r="M80" i="25"/>
  <c r="J98" i="25"/>
  <c r="M102" i="25"/>
  <c r="M109" i="25"/>
  <c r="M98" i="25"/>
  <c r="M21" i="17"/>
  <c r="L21" i="17"/>
  <c r="K21" i="17"/>
  <c r="J21" i="17"/>
  <c r="I21" i="17"/>
  <c r="H21" i="17"/>
  <c r="M15" i="17"/>
  <c r="L15" i="17"/>
  <c r="K15" i="17"/>
  <c r="J15" i="17"/>
  <c r="I15" i="17"/>
  <c r="H15" i="17"/>
  <c r="G21" i="17"/>
  <c r="G15" i="17"/>
  <c r="N26" i="17"/>
  <c r="N25" i="17"/>
  <c r="N24" i="17"/>
  <c r="N20" i="17"/>
  <c r="N19" i="17"/>
  <c r="N18" i="17"/>
  <c r="N14" i="17"/>
  <c r="N13" i="17"/>
  <c r="N12" i="17"/>
  <c r="V25" i="17" l="1"/>
  <c r="W25" i="17"/>
  <c r="X25" i="17"/>
  <c r="W19" i="17"/>
  <c r="V19" i="17"/>
  <c r="X19" i="17"/>
  <c r="V20" i="17"/>
  <c r="X20" i="17"/>
  <c r="W20" i="17"/>
  <c r="W26" i="17"/>
  <c r="V26" i="17"/>
  <c r="X26" i="17"/>
  <c r="X14" i="17"/>
  <c r="W14" i="17"/>
  <c r="V14" i="17"/>
  <c r="W13" i="17"/>
  <c r="V13" i="17"/>
  <c r="X13" i="17"/>
  <c r="V12" i="17"/>
  <c r="W12" i="17"/>
  <c r="X12" i="17"/>
  <c r="X24" i="17"/>
  <c r="V24" i="17"/>
  <c r="W24" i="17"/>
  <c r="W18" i="17"/>
  <c r="V18" i="17"/>
  <c r="X18" i="17"/>
  <c r="O128" i="25"/>
  <c r="P128" i="25" s="1"/>
  <c r="R122" i="25"/>
  <c r="S122" i="25" s="1"/>
  <c r="S111" i="25"/>
  <c r="R112" i="25"/>
  <c r="R128" i="25" s="1"/>
  <c r="S128" i="25" s="1"/>
  <c r="M112" i="25"/>
  <c r="R92" i="25"/>
  <c r="S92" i="25" s="1"/>
  <c r="L114" i="25"/>
  <c r="M114" i="25" s="1"/>
  <c r="R69" i="25"/>
  <c r="S69" i="25" s="1"/>
  <c r="S73" i="25"/>
  <c r="L17" i="25"/>
  <c r="M17" i="25" s="1"/>
  <c r="I112" i="25"/>
  <c r="I128" i="25" s="1"/>
  <c r="J128" i="25" s="1"/>
  <c r="J110" i="25"/>
  <c r="R62" i="25"/>
  <c r="S62" i="25" s="1"/>
  <c r="O114" i="25"/>
  <c r="P114" i="25" s="1"/>
  <c r="R50" i="25"/>
  <c r="S50" i="25" s="1"/>
  <c r="R86" i="25"/>
  <c r="S86" i="25" s="1"/>
  <c r="S108" i="25"/>
  <c r="R16" i="25"/>
  <c r="S16" i="25" s="1"/>
  <c r="S75" i="25"/>
  <c r="O17" i="25"/>
  <c r="P17" i="25" s="1"/>
  <c r="S60" i="25"/>
  <c r="S90" i="25"/>
  <c r="S76" i="25"/>
  <c r="S81" i="25"/>
  <c r="S103" i="25"/>
  <c r="S85" i="25"/>
  <c r="S74" i="25"/>
  <c r="S104" i="25"/>
  <c r="S83" i="25"/>
  <c r="J17" i="25"/>
  <c r="I19" i="25"/>
  <c r="J19" i="25" s="1"/>
  <c r="S89" i="25"/>
  <c r="S54" i="25"/>
  <c r="R55" i="25"/>
  <c r="S55" i="25" s="1"/>
  <c r="S131" i="25"/>
  <c r="S121" i="25"/>
  <c r="S99" i="25"/>
  <c r="S78" i="25"/>
  <c r="S109" i="25"/>
  <c r="S102" i="25"/>
  <c r="S80" i="25"/>
  <c r="S72" i="25"/>
  <c r="S66" i="25"/>
  <c r="S59" i="25"/>
  <c r="S49" i="25"/>
  <c r="S41" i="25"/>
  <c r="S30" i="25"/>
  <c r="S47" i="25"/>
  <c r="S24" i="25"/>
  <c r="S11" i="25"/>
  <c r="S43" i="25"/>
  <c r="S46" i="25"/>
  <c r="S98" i="25"/>
  <c r="S101" i="25"/>
  <c r="S45" i="25"/>
  <c r="S77" i="25"/>
  <c r="S40" i="25"/>
  <c r="S10" i="25"/>
  <c r="S120" i="25"/>
  <c r="S31" i="25"/>
  <c r="S68" i="25"/>
  <c r="S58" i="25"/>
  <c r="S42" i="25"/>
  <c r="S44" i="25"/>
  <c r="S84" i="25"/>
  <c r="S61" i="25"/>
  <c r="S110" i="25"/>
  <c r="S118" i="25"/>
  <c r="S82" i="25"/>
  <c r="S9" i="25"/>
  <c r="S29" i="25"/>
  <c r="M105" i="25"/>
  <c r="J62" i="25"/>
  <c r="S100" i="25"/>
  <c r="R105" i="25"/>
  <c r="S53" i="25"/>
  <c r="J86" i="25"/>
  <c r="R15" i="25"/>
  <c r="S65" i="25"/>
  <c r="J105" i="25"/>
  <c r="S119" i="25"/>
  <c r="S67" i="25"/>
  <c r="S91" i="25"/>
  <c r="S8" i="25"/>
  <c r="S48" i="25"/>
  <c r="S79" i="25"/>
  <c r="N15" i="17"/>
  <c r="N21" i="17"/>
  <c r="N27" i="17"/>
  <c r="R11" i="23"/>
  <c r="R10" i="23"/>
  <c r="R9" i="23"/>
  <c r="R8" i="23"/>
  <c r="O12" i="23"/>
  <c r="L12" i="23"/>
  <c r="M39" i="23" l="1"/>
  <c r="M41" i="23"/>
  <c r="M46" i="23"/>
  <c r="M53" i="23"/>
  <c r="M48" i="23"/>
  <c r="P53" i="23"/>
  <c r="P46" i="23"/>
  <c r="P39" i="23"/>
  <c r="P41" i="23"/>
  <c r="P48" i="23"/>
  <c r="M35" i="23"/>
  <c r="M37" i="23"/>
  <c r="P35" i="23"/>
  <c r="P37" i="23"/>
  <c r="M33" i="23"/>
  <c r="M31" i="23"/>
  <c r="P33" i="23"/>
  <c r="P31" i="23"/>
  <c r="P50" i="23"/>
  <c r="P15" i="17"/>
  <c r="J34" i="17" s="1"/>
  <c r="T15" i="17"/>
  <c r="N34" i="17" s="1"/>
  <c r="R15" i="17"/>
  <c r="L34" i="17" s="1"/>
  <c r="P21" i="17"/>
  <c r="J35" i="17" s="1"/>
  <c r="T21" i="17"/>
  <c r="N35" i="17" s="1"/>
  <c r="R21" i="17"/>
  <c r="L35" i="17" s="1"/>
  <c r="T27" i="17"/>
  <c r="N36" i="17" s="1"/>
  <c r="P27" i="17"/>
  <c r="J36" i="17" s="1"/>
  <c r="R27" i="17"/>
  <c r="L36" i="17" s="1"/>
  <c r="S112" i="25"/>
  <c r="J112" i="25"/>
  <c r="O19" i="25"/>
  <c r="P19" i="25" s="1"/>
  <c r="L19" i="25"/>
  <c r="M19" i="25" s="1"/>
  <c r="I114" i="25"/>
  <c r="J114" i="25" s="1"/>
  <c r="S15" i="25"/>
  <c r="R17" i="25"/>
  <c r="S105" i="25"/>
  <c r="R114" i="25"/>
  <c r="S114" i="25" s="1"/>
  <c r="R12" i="23"/>
  <c r="P11" i="23"/>
  <c r="P8" i="23"/>
  <c r="P9" i="23"/>
  <c r="P10" i="23"/>
  <c r="M26" i="23"/>
  <c r="M10" i="23"/>
  <c r="M11" i="23"/>
  <c r="M8" i="23"/>
  <c r="M9" i="23"/>
  <c r="M50" i="23" l="1"/>
  <c r="S22" i="23"/>
  <c r="L17" i="23"/>
  <c r="S47" i="23"/>
  <c r="S49" i="23"/>
  <c r="S51" i="23"/>
  <c r="S52" i="23"/>
  <c r="S38" i="23"/>
  <c r="S17" i="25"/>
  <c r="R19" i="25"/>
  <c r="O17" i="23"/>
  <c r="O28" i="23" s="1"/>
  <c r="P28" i="23" s="1"/>
  <c r="P26" i="23"/>
  <c r="L28" i="23" l="1"/>
  <c r="M28" i="23" s="1"/>
  <c r="L19" i="23"/>
  <c r="L43" i="23" s="1"/>
  <c r="L56" i="23" s="1"/>
  <c r="M17" i="23"/>
  <c r="S19" i="25"/>
  <c r="P17" i="23"/>
  <c r="O19" i="23"/>
  <c r="O43" i="23" s="1"/>
  <c r="O56" i="23" s="1"/>
  <c r="M19" i="23" l="1"/>
  <c r="P19" i="23"/>
  <c r="R41" i="23"/>
  <c r="S41" i="23" s="1"/>
  <c r="R37" i="23"/>
  <c r="S37" i="23" s="1"/>
  <c r="I12" i="23"/>
  <c r="J48" i="23" l="1"/>
  <c r="J46" i="23"/>
  <c r="J39" i="23"/>
  <c r="J41" i="23"/>
  <c r="J53" i="23"/>
  <c r="J35" i="23"/>
  <c r="J37" i="23"/>
  <c r="J33" i="23"/>
  <c r="J31" i="23"/>
  <c r="I59" i="23"/>
  <c r="J59" i="23" s="1"/>
  <c r="R33" i="23"/>
  <c r="S33" i="23" s="1"/>
  <c r="M56" i="23"/>
  <c r="M43" i="23"/>
  <c r="R16" i="23"/>
  <c r="S16" i="23" s="1"/>
  <c r="R15" i="23"/>
  <c r="R24" i="23"/>
  <c r="P56" i="23"/>
  <c r="P43" i="23"/>
  <c r="R31" i="23"/>
  <c r="S31" i="23" s="1"/>
  <c r="J9" i="23"/>
  <c r="J11" i="23"/>
  <c r="S9" i="23"/>
  <c r="S10" i="23"/>
  <c r="S11" i="23"/>
  <c r="S62" i="23"/>
  <c r="M62" i="23"/>
  <c r="S8" i="23"/>
  <c r="R35" i="23"/>
  <c r="S35" i="23" s="1"/>
  <c r="P62" i="23"/>
  <c r="O59" i="23"/>
  <c r="P59" i="23" s="1"/>
  <c r="J26" i="23"/>
  <c r="J8" i="23"/>
  <c r="J10" i="23"/>
  <c r="J62" i="23"/>
  <c r="R48" i="23" l="1"/>
  <c r="S48" i="23" s="1"/>
  <c r="R46" i="23"/>
  <c r="S46" i="23" s="1"/>
  <c r="J50" i="23"/>
  <c r="S24" i="23"/>
  <c r="R26" i="23"/>
  <c r="S15" i="23"/>
  <c r="R17" i="23"/>
  <c r="R39" i="23"/>
  <c r="S39" i="23" s="1"/>
  <c r="I17" i="23"/>
  <c r="R53" i="23"/>
  <c r="S53" i="23" s="1"/>
  <c r="L59" i="23"/>
  <c r="M59" i="23" s="1"/>
  <c r="S50" i="23" l="1"/>
  <c r="R59" i="23"/>
  <c r="S59" i="23" s="1"/>
  <c r="R19" i="23"/>
  <c r="S19" i="23" s="1"/>
  <c r="S17" i="23"/>
  <c r="J17" i="23"/>
  <c r="I19" i="23"/>
  <c r="I43" i="23" s="1"/>
  <c r="I28" i="23"/>
  <c r="J28" i="23" s="1"/>
  <c r="R28" i="23"/>
  <c r="S28" i="23" s="1"/>
  <c r="S26" i="23"/>
  <c r="R43" i="23" l="1"/>
  <c r="R56" i="23" s="1"/>
  <c r="R64" i="23" s="1"/>
  <c r="S64" i="23" s="1"/>
  <c r="I56" i="23"/>
  <c r="J19" i="23"/>
  <c r="L64" i="23"/>
  <c r="M64" i="23" s="1"/>
  <c r="S43" i="23" l="1"/>
  <c r="S56" i="23"/>
  <c r="O64" i="23"/>
  <c r="P64" i="23" s="1"/>
  <c r="J43" i="23"/>
  <c r="J56" i="23" l="1"/>
  <c r="I64" i="23"/>
  <c r="J64" i="23" s="1"/>
  <c r="N6" i="17" l="1"/>
  <c r="H8" i="17"/>
  <c r="I8" i="17"/>
  <c r="J8" i="17"/>
  <c r="K8" i="17"/>
  <c r="L8" i="17"/>
  <c r="M8" i="17"/>
  <c r="G8" i="17"/>
  <c r="G7" i="17"/>
  <c r="M15" i="18"/>
  <c r="M7" i="17" l="1"/>
  <c r="J7" i="17"/>
  <c r="J9" i="17" s="1"/>
  <c r="J29" i="17" s="1"/>
  <c r="K7" i="17"/>
  <c r="I7" i="17"/>
  <c r="L7" i="17"/>
  <c r="L9" i="17" s="1"/>
  <c r="L29" i="17" s="1"/>
  <c r="H7" i="17"/>
  <c r="H9" i="17" s="1"/>
  <c r="H29" i="17" s="1"/>
  <c r="G9" i="17"/>
  <c r="G29" i="17" s="1"/>
  <c r="M19" i="18"/>
  <c r="M18" i="18"/>
  <c r="M23" i="18"/>
  <c r="M22" i="18"/>
  <c r="M14" i="18"/>
  <c r="M12" i="18"/>
  <c r="G126" i="18"/>
  <c r="G112" i="18"/>
  <c r="I111" i="18" s="1"/>
  <c r="K111" i="18" s="1"/>
  <c r="G102" i="18"/>
  <c r="I102" i="18" s="1"/>
  <c r="K102" i="18" s="1"/>
  <c r="C100" i="18"/>
  <c r="C101" i="18" s="1"/>
  <c r="G96" i="18"/>
  <c r="I96" i="18" s="1"/>
  <c r="K96" i="18" s="1"/>
  <c r="C84" i="18"/>
  <c r="C85" i="18" s="1"/>
  <c r="C86" i="18" s="1"/>
  <c r="C87" i="18" s="1"/>
  <c r="C88" i="18" s="1"/>
  <c r="C89" i="18" s="1"/>
  <c r="C90" i="18" s="1"/>
  <c r="C91" i="18" s="1"/>
  <c r="C92" i="18" s="1"/>
  <c r="C93" i="18" s="1"/>
  <c r="C94" i="18" s="1"/>
  <c r="C95" i="18" s="1"/>
  <c r="G80" i="18"/>
  <c r="I80" i="18" s="1"/>
  <c r="K80" i="18" s="1"/>
  <c r="C77" i="18"/>
  <c r="C78" i="18" s="1"/>
  <c r="C79" i="18" s="1"/>
  <c r="G73" i="18"/>
  <c r="I72" i="18" s="1"/>
  <c r="K72" i="18" s="1"/>
  <c r="C70" i="18"/>
  <c r="C71" i="18" s="1"/>
  <c r="C72" i="18" s="1"/>
  <c r="G66" i="18"/>
  <c r="I66" i="18" s="1"/>
  <c r="K66" i="18" s="1"/>
  <c r="G61" i="18"/>
  <c r="I61" i="18" s="1"/>
  <c r="K61" i="18" s="1"/>
  <c r="C52" i="18"/>
  <c r="C53" i="18" s="1"/>
  <c r="C54" i="18" s="1"/>
  <c r="C55" i="18" s="1"/>
  <c r="C56" i="18" s="1"/>
  <c r="C57" i="18" s="1"/>
  <c r="C58" i="18" s="1"/>
  <c r="C59" i="18" s="1"/>
  <c r="C60" i="18" s="1"/>
  <c r="K41" i="18"/>
  <c r="I41" i="18"/>
  <c r="G37" i="18"/>
  <c r="K37" i="18" s="1"/>
  <c r="M9" i="17" l="1"/>
  <c r="K9" i="17"/>
  <c r="I9" i="17"/>
  <c r="N7" i="17"/>
  <c r="N9" i="17"/>
  <c r="I37" i="18"/>
  <c r="I125" i="18"/>
  <c r="K125" i="18" s="1"/>
  <c r="X9" i="17" l="1"/>
  <c r="X29" i="17" s="1"/>
  <c r="W9" i="17"/>
  <c r="W29" i="17" s="1"/>
  <c r="V9" i="17"/>
  <c r="V29" i="17" s="1"/>
  <c r="R9" i="17"/>
  <c r="L33" i="17" s="1"/>
  <c r="P9" i="17"/>
  <c r="J33" i="17" s="1"/>
  <c r="T9" i="17"/>
  <c r="N33" i="17" s="1"/>
  <c r="M29" i="17"/>
  <c r="I29" i="17"/>
  <c r="K29" i="17"/>
  <c r="N8" i="17"/>
  <c r="O23" i="25"/>
  <c r="L23" i="25"/>
  <c r="I23" i="25"/>
  <c r="N29" i="17" l="1"/>
  <c r="N39" i="17" s="1"/>
  <c r="I25" i="25"/>
  <c r="I28" i="25" s="1"/>
  <c r="J23" i="25"/>
  <c r="R23" i="25"/>
  <c r="O25" i="25"/>
  <c r="O28" i="25" s="1"/>
  <c r="P23" i="25"/>
  <c r="L25" i="25"/>
  <c r="L28" i="25" s="1"/>
  <c r="M23" i="25"/>
  <c r="J40" i="17" l="1"/>
  <c r="N40" i="17"/>
  <c r="L40" i="17"/>
  <c r="L39" i="17"/>
  <c r="J39" i="17"/>
  <c r="T29" i="17"/>
  <c r="N41" i="17" s="1"/>
  <c r="P29" i="17"/>
  <c r="J41" i="17" s="1"/>
  <c r="R29" i="17"/>
  <c r="L41" i="17" s="1"/>
  <c r="M25" i="25"/>
  <c r="P25" i="25"/>
  <c r="R25" i="25"/>
  <c r="S23" i="25"/>
  <c r="J25" i="25"/>
  <c r="S25" i="25" l="1"/>
  <c r="P28" i="25"/>
  <c r="O32" i="25"/>
  <c r="I32" i="25"/>
  <c r="J28" i="25"/>
  <c r="R28" i="25"/>
  <c r="L32" i="25"/>
  <c r="M28" i="25"/>
  <c r="M32" i="25" l="1"/>
  <c r="L34" i="25"/>
  <c r="S28" i="25"/>
  <c r="R32" i="25"/>
  <c r="J32" i="25"/>
  <c r="I34" i="25"/>
  <c r="P32" i="25"/>
  <c r="O34" i="25"/>
  <c r="P34" i="25" l="1"/>
  <c r="O36" i="25"/>
  <c r="P36" i="25" s="1"/>
  <c r="O94" i="25"/>
  <c r="J34" i="25"/>
  <c r="I36" i="25"/>
  <c r="J36" i="25" s="1"/>
  <c r="I94" i="25"/>
  <c r="S32" i="25"/>
  <c r="R34" i="25"/>
  <c r="L94" i="25"/>
  <c r="L36" i="25"/>
  <c r="M36" i="25" s="1"/>
  <c r="M34" i="25"/>
  <c r="J94" i="25" l="1"/>
  <c r="I125" i="25"/>
  <c r="S34" i="25"/>
  <c r="R36" i="25"/>
  <c r="S36" i="25" s="1"/>
  <c r="R94" i="25"/>
  <c r="P94" i="25"/>
  <c r="O125" i="25"/>
  <c r="M94" i="25"/>
  <c r="L125" i="25"/>
  <c r="P125" i="25" l="1"/>
  <c r="O133" i="25"/>
  <c r="P133" i="25" s="1"/>
  <c r="R125" i="25"/>
  <c r="S94" i="25"/>
  <c r="J125" i="25"/>
  <c r="I133" i="25"/>
  <c r="J133" i="25" s="1"/>
  <c r="M125" i="25"/>
  <c r="L133" i="25"/>
  <c r="M133" i="25" s="1"/>
  <c r="S125" i="25" l="1"/>
  <c r="R133" i="25"/>
  <c r="S133"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Erickson</author>
    <author>Jim Laube</author>
  </authors>
  <commentList>
    <comment ref="G11" authorId="0" shapeId="0" xr:uid="{B664BC83-6C67-4484-9992-367A4B1E577D}">
      <text>
        <r>
          <rPr>
            <b/>
            <sz val="9"/>
            <color indexed="55"/>
            <rFont val="Tahoma"/>
            <family val="2"/>
          </rPr>
          <t>Use per person $ average or average order $ amount</t>
        </r>
        <r>
          <rPr>
            <sz val="9"/>
            <color indexed="81"/>
            <rFont val="Tahoma"/>
            <family val="2"/>
          </rPr>
          <t xml:space="preserve">
</t>
        </r>
      </text>
    </comment>
    <comment ref="G40" authorId="0" shapeId="0" xr:uid="{EA564ED6-6661-4190-9C91-092579CCB027}">
      <text>
        <r>
          <rPr>
            <b/>
            <sz val="9"/>
            <color indexed="55"/>
            <rFont val="Tahoma"/>
            <family val="2"/>
          </rPr>
          <t>This is the cost of minimum staffing it takes to open your doors for business</t>
        </r>
        <r>
          <rPr>
            <sz val="9"/>
            <color indexed="81"/>
            <rFont val="Tahoma"/>
            <family val="2"/>
          </rPr>
          <t xml:space="preserve">
</t>
        </r>
      </text>
    </comment>
    <comment ref="G44" authorId="1" shapeId="0" xr:uid="{4DF5E0C0-434E-451E-9421-A64787448357}">
      <text>
        <r>
          <rPr>
            <b/>
            <sz val="10"/>
            <color indexed="9"/>
            <rFont val="Tahoma"/>
            <family val="2"/>
          </rPr>
          <t xml:space="preserve">Fica (6.2%), Medicare (1.45%) and SUTA (1-3%) typically run 8-9%. </t>
        </r>
      </text>
    </comment>
  </commentList>
</comments>
</file>

<file path=xl/sharedStrings.xml><?xml version="1.0" encoding="utf-8"?>
<sst xmlns="http://schemas.openxmlformats.org/spreadsheetml/2006/main" count="380" uniqueCount="218">
  <si>
    <t>Employee Benefits</t>
  </si>
  <si>
    <t>Other</t>
  </si>
  <si>
    <t>Uniforms</t>
  </si>
  <si>
    <t>Contract Cleaning</t>
  </si>
  <si>
    <t>Cleaning Supplies</t>
  </si>
  <si>
    <t>Miscellaneous</t>
  </si>
  <si>
    <t>Total Direct Operating Expenses</t>
  </si>
  <si>
    <t>Total Music &amp; Entertainment</t>
  </si>
  <si>
    <t>Marketing -</t>
  </si>
  <si>
    <t>Music &amp; Entertainment -</t>
  </si>
  <si>
    <t>Advertising</t>
  </si>
  <si>
    <t>Total Marketing</t>
  </si>
  <si>
    <t>Utilities -</t>
  </si>
  <si>
    <t>Water</t>
  </si>
  <si>
    <t>Trash Removal</t>
  </si>
  <si>
    <t>Gas</t>
  </si>
  <si>
    <t>Total Utilities</t>
  </si>
  <si>
    <t>General &amp; Administrative -</t>
  </si>
  <si>
    <t>Office Supplies</t>
  </si>
  <si>
    <t>Postage</t>
  </si>
  <si>
    <t>Dues &amp; Subscriptions</t>
  </si>
  <si>
    <t>Cash (Over) / Short</t>
  </si>
  <si>
    <t>Professional Fees</t>
  </si>
  <si>
    <t>Bank Deposit Services</t>
  </si>
  <si>
    <t>Total General &amp; Administrative</t>
  </si>
  <si>
    <t>Total Repairs &amp; Maintenance</t>
  </si>
  <si>
    <t>Occupancy Costs</t>
  </si>
  <si>
    <t>Total Occupancy Costs</t>
  </si>
  <si>
    <t>General Manager</t>
  </si>
  <si>
    <t>Assistant Manager</t>
  </si>
  <si>
    <t>Printed Materials</t>
  </si>
  <si>
    <t>Security System</t>
  </si>
  <si>
    <t>Period</t>
  </si>
  <si>
    <t>Bank Charges</t>
  </si>
  <si>
    <t>Selling &amp; Promotions</t>
  </si>
  <si>
    <t>Occupancy Costs:</t>
  </si>
  <si>
    <t>Equipment Rental</t>
  </si>
  <si>
    <t>Personal Property Taxes</t>
  </si>
  <si>
    <t>Insurance on Building &amp; Contents</t>
  </si>
  <si>
    <t xml:space="preserve">Liquor Liability </t>
  </si>
  <si>
    <t>Accounting Services</t>
  </si>
  <si>
    <t>Payroll Processing</t>
  </si>
  <si>
    <t>Total Management Salaries</t>
  </si>
  <si>
    <t>Direct Operating Expenses</t>
  </si>
  <si>
    <t>Management Salaries (Annual)</t>
  </si>
  <si>
    <t>Kitchen Utensils</t>
  </si>
  <si>
    <t>Extermination</t>
  </si>
  <si>
    <t>Licenses &amp; Permits</t>
  </si>
  <si>
    <t>Auto Expense</t>
  </si>
  <si>
    <t>Monthly $</t>
  </si>
  <si>
    <t>Research</t>
  </si>
  <si>
    <t>Electricity</t>
  </si>
  <si>
    <t>Protective Services</t>
  </si>
  <si>
    <t>Common Area Maintenance (CAM)</t>
  </si>
  <si>
    <t>Real Estate Taxes</t>
  </si>
  <si>
    <t>Repairs &amp; Maintenance</t>
  </si>
  <si>
    <t>Building Repairs &amp; Maint.</t>
  </si>
  <si>
    <t>Equipment Repairs &amp; Maint.</t>
  </si>
  <si>
    <t>Grounds, Landscaping &amp; Parking Lot</t>
  </si>
  <si>
    <t>Misc Other Expense</t>
  </si>
  <si>
    <t>Instructions &amp; Tips:</t>
  </si>
  <si>
    <t>Training Materials</t>
  </si>
  <si>
    <t>Weekly</t>
  </si>
  <si>
    <t>1. Before you begin work, save this worksheet and create a working copy using the File, Save As command.</t>
  </si>
  <si>
    <t>2. We recommend that you work on each worksheet in the order in which it appears in the tabs below, from left to right.</t>
  </si>
  <si>
    <t>4. The worksheets in this file come protected</t>
  </si>
  <si>
    <t xml:space="preserve">    - Only the cells where data is entered can be changed.</t>
  </si>
  <si>
    <t xml:space="preserve">    - Enter the password . . . "ro.com" in lower case.</t>
  </si>
  <si>
    <t xml:space="preserve">    - Once a worksheet is unprotected you can make any changes.</t>
  </si>
  <si>
    <t xml:space="preserve">    - After you have made your changes, you can re-protect the worksheet using a unique password if you wish.</t>
  </si>
  <si>
    <t>Laundry</t>
  </si>
  <si>
    <t>Kitchen Manager</t>
  </si>
  <si>
    <t># of Days Open per week</t>
  </si>
  <si>
    <t>Packaging Cost %</t>
  </si>
  <si>
    <t>Labor Cost Assumptions</t>
  </si>
  <si>
    <t>Minimum Staffing (Daily)</t>
  </si>
  <si>
    <t>Music &amp; Entertainment</t>
  </si>
  <si>
    <t>Assumptions Worksheet</t>
  </si>
  <si>
    <t>Others</t>
  </si>
  <si>
    <t>Rent</t>
  </si>
  <si>
    <t>Loan 1</t>
  </si>
  <si>
    <t>Loan 2</t>
  </si>
  <si>
    <t>Loan 3</t>
  </si>
  <si>
    <t>Loans and Leases</t>
  </si>
  <si>
    <t>Total Loans &amp; Leases</t>
  </si>
  <si>
    <t>Total Other Expenses</t>
  </si>
  <si>
    <t>Blue Fish Grill</t>
  </si>
  <si>
    <t xml:space="preserve">3. Support is available by contacting RestaurantOwner.com by email at info@RestaurantOwner.com. </t>
  </si>
  <si>
    <t xml:space="preserve">    - To customize a worksheet you must first Un-Protect it.</t>
  </si>
  <si>
    <t xml:space="preserve">    - To Unprotect a worksheet go to Menu Bar above and select Review . . .  Unprotect Sheet.</t>
  </si>
  <si>
    <t>Accounting Periods (months)</t>
  </si>
  <si>
    <t>Hourly Labor Cost Target</t>
  </si>
  <si>
    <t>Music Service &amp; Sound System</t>
  </si>
  <si>
    <t>Telephone</t>
  </si>
  <si>
    <t>Regular menu</t>
  </si>
  <si>
    <t>Family packs</t>
  </si>
  <si>
    <t>Takeout Orders</t>
  </si>
  <si>
    <t xml:space="preserve">Dine-in </t>
  </si>
  <si>
    <t>F&amp;B Cost%</t>
  </si>
  <si>
    <t>Sales Assumptions</t>
  </si>
  <si>
    <t>Dine-in Orders</t>
  </si>
  <si>
    <t>Total Cost of Sales %</t>
  </si>
  <si>
    <t>Delivery Orders - 3rd Party</t>
  </si>
  <si>
    <t>Delivery Orders - in-house</t>
  </si>
  <si>
    <t>Average Fee Percentage</t>
  </si>
  <si>
    <t>Delivery/
Online Order Fees %</t>
  </si>
  <si>
    <t>Dine-in seating</t>
  </si>
  <si>
    <t>Total # of seats</t>
  </si>
  <si>
    <t>Phase 2 Occupancy Limit</t>
  </si>
  <si>
    <t>Phase 3 Occupancy Limit</t>
  </si>
  <si>
    <t>Seating Efficiency</t>
  </si>
  <si>
    <t>Phase 1 Occupancy limit</t>
  </si>
  <si>
    <t>Monday</t>
  </si>
  <si>
    <t>Tuesday</t>
  </si>
  <si>
    <t>Wednesday</t>
  </si>
  <si>
    <t>Thursday</t>
  </si>
  <si>
    <t>Friday</t>
  </si>
  <si>
    <t>Saturday</t>
  </si>
  <si>
    <t>Sunday</t>
  </si>
  <si>
    <t>Weekly Total</t>
  </si>
  <si>
    <t>Table Turns</t>
  </si>
  <si>
    <t># Customers/Orders</t>
  </si>
  <si>
    <t>PPA/Check Avg.</t>
  </si>
  <si>
    <t>PPA/Check Average</t>
  </si>
  <si>
    <t># Regular menu</t>
  </si>
  <si>
    <t># Family packs</t>
  </si>
  <si>
    <t># Other</t>
  </si>
  <si>
    <t>Food &amp; Beverage</t>
  </si>
  <si>
    <t>TOTAL SALES</t>
  </si>
  <si>
    <t>Cost of Sales:</t>
  </si>
  <si>
    <t>TOTAL COST OF SALES</t>
  </si>
  <si>
    <t>Gross Profit</t>
  </si>
  <si>
    <t>Payroll:</t>
  </si>
  <si>
    <t>Salaries &amp; Wages -</t>
  </si>
  <si>
    <t>Management</t>
  </si>
  <si>
    <t>Hourly Employees</t>
  </si>
  <si>
    <t>Total Salaries &amp; Wages</t>
  </si>
  <si>
    <t>Worker's Comp.</t>
  </si>
  <si>
    <t>Group Medical Insurance</t>
  </si>
  <si>
    <t>Total Employee Benefits</t>
  </si>
  <si>
    <t>TOTAL PAYROLL</t>
  </si>
  <si>
    <t>PRIME COST</t>
  </si>
  <si>
    <t xml:space="preserve">Direct Operating Expenses </t>
  </si>
  <si>
    <t>Laundry &amp; Linen</t>
  </si>
  <si>
    <t>Musak &amp; Sound System</t>
  </si>
  <si>
    <t>Electrical</t>
  </si>
  <si>
    <t>Credit Card Charges</t>
  </si>
  <si>
    <t>Legal &amp; Professional Fees</t>
  </si>
  <si>
    <t>Training Costs</t>
  </si>
  <si>
    <t>CONTROLLABLE PROFIT</t>
  </si>
  <si>
    <t>Occupancy Costs &amp; Depreciation</t>
  </si>
  <si>
    <t>Rent &amp; Common Area Maintenance</t>
  </si>
  <si>
    <t>Building</t>
  </si>
  <si>
    <t>Leasehold Improvements</t>
  </si>
  <si>
    <t>Furniture &amp; Equipment</t>
  </si>
  <si>
    <t>Pre-Opening Costs</t>
  </si>
  <si>
    <t>Total Depreciation</t>
  </si>
  <si>
    <t>TOTAL OCCUPANCY &amp; DEPREC.</t>
  </si>
  <si>
    <t>Other (Income) Expense -</t>
  </si>
  <si>
    <t>Grease Sales</t>
  </si>
  <si>
    <t>Interest</t>
  </si>
  <si>
    <t>Total Other (Income) Expense</t>
  </si>
  <si>
    <t>NET INCOME BEFORE INCOME TAXES</t>
  </si>
  <si>
    <t>ADD BACK:</t>
  </si>
  <si>
    <t>Depreciation &amp; Amortization</t>
  </si>
  <si>
    <t>DEDUCT:</t>
  </si>
  <si>
    <t>Loan Principal Payments</t>
  </si>
  <si>
    <t>CASH FLOW BEFORE INCOME TAXES</t>
  </si>
  <si>
    <t>Marketing</t>
  </si>
  <si>
    <t>Utilities</t>
  </si>
  <si>
    <t>3-Month Profit &amp; Loss Projection</t>
  </si>
  <si>
    <t>3-Month Totals</t>
  </si>
  <si>
    <t>Paper/Packaging</t>
  </si>
  <si>
    <t>Food &amp; Beverage Sales:</t>
  </si>
  <si>
    <t>Dine-In</t>
  </si>
  <si>
    <t>Takeout</t>
  </si>
  <si>
    <t>Delivery In-House</t>
  </si>
  <si>
    <t>Delivery 3rd Party</t>
  </si>
  <si>
    <t>Summary View</t>
  </si>
  <si>
    <t>Controllable Expenses:</t>
  </si>
  <si>
    <t>General &amp; Administrative</t>
  </si>
  <si>
    <t>Total Dine-in Sales</t>
  </si>
  <si>
    <t>Total Takeout Sales</t>
  </si>
  <si>
    <t>Total Delivery Sales</t>
  </si>
  <si>
    <t>Total 3rd Party Delivery Sales</t>
  </si>
  <si>
    <t>Total Sales</t>
  </si>
  <si>
    <t>Seats available:</t>
  </si>
  <si>
    <t xml:space="preserve">Month 1 </t>
  </si>
  <si>
    <t xml:space="preserve">Month 3 </t>
  </si>
  <si>
    <t xml:space="preserve">Month 2 </t>
  </si>
  <si>
    <t>Vending Commissions</t>
  </si>
  <si>
    <t>Payroll Taxes</t>
  </si>
  <si>
    <t xml:space="preserve">Payroll Taxes </t>
  </si>
  <si>
    <t>Reported Tips</t>
  </si>
  <si>
    <t>As a % of all sales</t>
  </si>
  <si>
    <r>
      <t xml:space="preserve">    - </t>
    </r>
    <r>
      <rPr>
        <b/>
        <sz val="11"/>
        <color rgb="FFFF0000"/>
        <rFont val="Arial"/>
        <family val="2"/>
      </rPr>
      <t>Warning</t>
    </r>
    <r>
      <rPr>
        <b/>
        <sz val="11"/>
        <rFont val="Arial"/>
        <family val="2"/>
      </rPr>
      <t>: Unprotecing a worksheet exposes it to inadvertant formula changes and therefore could result in miscalculations</t>
    </r>
  </si>
  <si>
    <r>
      <t xml:space="preserve">    - </t>
    </r>
    <r>
      <rPr>
        <b/>
        <sz val="11"/>
        <color rgb="FFFF0000"/>
        <rFont val="Arial"/>
        <family val="2"/>
      </rPr>
      <t xml:space="preserve">This template is fully functional as is </t>
    </r>
    <r>
      <rPr>
        <b/>
        <sz val="11"/>
        <rFont val="Arial"/>
        <family val="2"/>
      </rPr>
      <t>- you do not need to unprotect it unless you want to customize it.</t>
    </r>
  </si>
  <si>
    <t>Bordered white-colored cells have formulas to get values from the Assumptions sheet. You can overide these formulas by entering your own values.</t>
  </si>
  <si>
    <t>You must enter values in the bordered peach-colored cells.</t>
  </si>
  <si>
    <t>(Less calculated commissions)</t>
  </si>
  <si>
    <t>Weekly Sales Forecast</t>
  </si>
  <si>
    <t>Phase1</t>
  </si>
  <si>
    <t>Select Phase</t>
  </si>
  <si>
    <t>28-day Total</t>
  </si>
  <si>
    <t>30-day Total</t>
  </si>
  <si>
    <t>31-day Total</t>
  </si>
  <si>
    <t>Food &amp; Beverage %</t>
  </si>
  <si>
    <t>Paper/Packaging %</t>
  </si>
  <si>
    <t>Credit Card Charges $</t>
  </si>
  <si>
    <t>F&amp;B Cost</t>
  </si>
  <si>
    <t>Paper Cost</t>
  </si>
  <si>
    <t>Credit Card Fees</t>
  </si>
  <si>
    <t>% Paid by credit card</t>
  </si>
  <si>
    <t>Chk Avg</t>
  </si>
  <si>
    <t>Other (Income) Expense</t>
  </si>
  <si>
    <t>Step 1 - Enter Assumptions</t>
  </si>
  <si>
    <t>Step 2 - Enter forecasted number of table turns and orders for selected phase (Select a phase first)</t>
  </si>
  <si>
    <t>Step 3 - Copy the values from the forecasted sales worksheet and paste "values" only to the P&amp;L Input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</si>
</sst>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4" formatCode="_(&quot;$&quot;* #,##0.00_);_(&quot;$&quot;* \(#,##0.00\);_(&quot;$&quot;* &quot;-&quot;??_);_(@_)"/>
    <numFmt numFmtId="43" formatCode="_(* #,##0.00_);_(* \(#,##0.00\);_(* &quot;-&quot;??_);_(@_)"/>
    <numFmt numFmtId="164" formatCode="#,##0;\(#,##0\)"/>
    <numFmt numFmtId="165" formatCode="0.0%"/>
    <numFmt numFmtId="166" formatCode="0."/>
    <numFmt numFmtId="167" formatCode="_(&quot;$&quot;* #,##0_);_(&quot;$&quot;* \(#,##0\);_(&quot;$&quot;* &quot;-&quot;??_);_(@_)"/>
    <numFmt numFmtId="168" formatCode="_(* #,##0.0_);_(* \(#,##0.0\);_(* &quot;-&quot;??_);_(@_)"/>
    <numFmt numFmtId="169" formatCode="_(* #,##0_);_(* \(#,##0\);_(* &quot;-&quot;??_);_(@_)"/>
    <numFmt numFmtId="170" formatCode="#,##0.0"/>
    <numFmt numFmtId="171" formatCode="0.0%;\(0.0%\)"/>
    <numFmt numFmtId="172" formatCode="&quot;$&quot;\ \ #,##0\ \ ;\(&quot;$&quot;#,##0\)"/>
    <numFmt numFmtId="173" formatCode="0.0%\ ;\(0.0%\)\ "/>
    <numFmt numFmtId="174" formatCode="#,##0\ \ ;\(#,##0\)"/>
    <numFmt numFmtId="175" formatCode="#,##0\ \ ;\(#,##0\)\ "/>
    <numFmt numFmtId="176" formatCode="&quot;$&quot;\ \ #,##0\ ;\(&quot;$&quot;#,##0\)"/>
  </numFmts>
  <fonts count="26" x14ac:knownFonts="1">
    <font>
      <sz val="10"/>
      <name val="Arial"/>
    </font>
    <font>
      <sz val="10"/>
      <name val="Arial"/>
      <family val="2"/>
    </font>
    <font>
      <b/>
      <sz val="10"/>
      <name val="Arial"/>
      <family val="2"/>
    </font>
    <font>
      <sz val="10"/>
      <name val="Arial"/>
      <family val="2"/>
    </font>
    <font>
      <b/>
      <sz val="11"/>
      <name val="Arial"/>
      <family val="2"/>
    </font>
    <font>
      <b/>
      <sz val="14"/>
      <color indexed="9"/>
      <name val="Arial"/>
      <family val="2"/>
    </font>
    <font>
      <sz val="11"/>
      <name val="Arial"/>
      <family val="2"/>
    </font>
    <font>
      <sz val="8"/>
      <name val="Arial"/>
      <family val="2"/>
    </font>
    <font>
      <sz val="11"/>
      <name val="Arial"/>
      <family val="2"/>
    </font>
    <font>
      <b/>
      <sz val="12"/>
      <color indexed="12"/>
      <name val="Arial"/>
      <family val="2"/>
    </font>
    <font>
      <b/>
      <sz val="14"/>
      <name val="Arial"/>
      <family val="2"/>
    </font>
    <font>
      <b/>
      <sz val="22"/>
      <name val="Arial"/>
      <family val="2"/>
    </font>
    <font>
      <sz val="12"/>
      <name val="Calibri"/>
      <family val="2"/>
      <scheme val="minor"/>
    </font>
    <font>
      <b/>
      <sz val="12"/>
      <color theme="0"/>
      <name val="Calibri"/>
      <family val="2"/>
      <scheme val="minor"/>
    </font>
    <font>
      <sz val="9"/>
      <color indexed="81"/>
      <name val="Tahoma"/>
      <family val="2"/>
    </font>
    <font>
      <b/>
      <sz val="10"/>
      <color indexed="9"/>
      <name val="Tahoma"/>
      <family val="2"/>
    </font>
    <font>
      <b/>
      <sz val="9"/>
      <color indexed="55"/>
      <name val="Tahoma"/>
      <family val="2"/>
    </font>
    <font>
      <sz val="10"/>
      <name val="Arial"/>
      <family val="2"/>
    </font>
    <font>
      <sz val="10"/>
      <color indexed="8"/>
      <name val="Arial"/>
      <family val="2"/>
    </font>
    <font>
      <b/>
      <sz val="10"/>
      <color indexed="8"/>
      <name val="Arial"/>
      <family val="2"/>
    </font>
    <font>
      <b/>
      <sz val="12"/>
      <name val="Arial"/>
      <family val="2"/>
    </font>
    <font>
      <sz val="11"/>
      <color indexed="9"/>
      <name val="Arial"/>
      <family val="2"/>
    </font>
    <font>
      <b/>
      <sz val="12"/>
      <color indexed="8"/>
      <name val="Arial"/>
      <family val="2"/>
    </font>
    <font>
      <sz val="10"/>
      <color indexed="10"/>
      <name val="Arial"/>
      <family val="2"/>
    </font>
    <font>
      <b/>
      <sz val="11"/>
      <color rgb="FFFF0000"/>
      <name val="Arial"/>
      <family val="2"/>
    </font>
    <font>
      <i/>
      <sz val="9"/>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37609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top/>
      <bottom style="thick">
        <color indexed="64"/>
      </bottom>
      <diagonal/>
    </border>
    <border>
      <left/>
      <right/>
      <top style="hair">
        <color indexed="64"/>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1" fillId="0" borderId="0"/>
  </cellStyleXfs>
  <cellXfs count="225">
    <xf numFmtId="0" fontId="0" fillId="0" borderId="0" xfId="0"/>
    <xf numFmtId="0" fontId="0" fillId="2" borderId="0" xfId="0" applyFill="1"/>
    <xf numFmtId="37" fontId="3" fillId="2" borderId="0" xfId="0" applyNumberFormat="1" applyFont="1" applyFill="1"/>
    <xf numFmtId="37" fontId="0" fillId="2" borderId="0" xfId="0" applyNumberFormat="1" applyFill="1"/>
    <xf numFmtId="0" fontId="4" fillId="2" borderId="0" xfId="0" applyFont="1" applyFill="1"/>
    <xf numFmtId="0" fontId="4" fillId="2" borderId="0" xfId="0" applyFont="1" applyFill="1" applyAlignment="1">
      <alignment horizontal="left"/>
    </xf>
    <xf numFmtId="0" fontId="8" fillId="2" borderId="0" xfId="0" applyFont="1" applyFill="1"/>
    <xf numFmtId="0" fontId="0" fillId="2" borderId="0" xfId="0" applyFill="1" applyAlignment="1">
      <alignment wrapText="1"/>
    </xf>
    <xf numFmtId="0" fontId="8" fillId="2" borderId="0" xfId="0" applyFont="1" applyFill="1" applyAlignment="1">
      <alignment wrapText="1"/>
    </xf>
    <xf numFmtId="0" fontId="8" fillId="2" borderId="0" xfId="0" applyFont="1" applyFill="1" applyAlignment="1">
      <alignment horizontal="left"/>
    </xf>
    <xf numFmtId="0" fontId="9" fillId="2" borderId="0" xfId="0" applyFont="1" applyFill="1" applyAlignment="1"/>
    <xf numFmtId="0" fontId="9" fillId="2" borderId="0" xfId="0" applyFont="1" applyFill="1"/>
    <xf numFmtId="38" fontId="13" fillId="5" borderId="0" xfId="0" applyNumberFormat="1" applyFont="1" applyFill="1" applyAlignment="1">
      <alignment vertical="center"/>
    </xf>
    <xf numFmtId="0" fontId="0" fillId="6" borderId="0" xfId="0" applyFill="1"/>
    <xf numFmtId="0" fontId="0" fillId="2" borderId="7" xfId="0" applyFill="1" applyBorder="1" applyProtection="1"/>
    <xf numFmtId="0" fontId="0" fillId="2" borderId="6" xfId="0" applyFill="1" applyBorder="1" applyProtection="1"/>
    <xf numFmtId="0" fontId="0" fillId="2" borderId="8" xfId="0" applyFill="1" applyBorder="1" applyProtection="1"/>
    <xf numFmtId="0" fontId="0" fillId="2" borderId="3" xfId="0" applyFill="1" applyBorder="1" applyProtection="1"/>
    <xf numFmtId="0" fontId="0" fillId="2" borderId="0" xfId="0" applyFill="1" applyBorder="1" applyProtection="1"/>
    <xf numFmtId="0" fontId="0" fillId="2" borderId="4" xfId="0" applyFill="1" applyBorder="1" applyProtection="1"/>
    <xf numFmtId="0" fontId="0" fillId="2" borderId="5" xfId="0" applyFill="1" applyBorder="1" applyProtection="1"/>
    <xf numFmtId="0" fontId="4" fillId="2" borderId="1" xfId="0" applyFont="1" applyFill="1" applyBorder="1" applyProtection="1"/>
    <xf numFmtId="0" fontId="0" fillId="2" borderId="1" xfId="0" applyFill="1" applyBorder="1" applyProtection="1"/>
    <xf numFmtId="0" fontId="0" fillId="2" borderId="9" xfId="0" applyFill="1" applyBorder="1" applyProtection="1"/>
    <xf numFmtId="3" fontId="1" fillId="4" borderId="2" xfId="0" applyNumberFormat="1" applyFont="1" applyFill="1" applyBorder="1" applyProtection="1">
      <protection locked="0"/>
    </xf>
    <xf numFmtId="9" fontId="1" fillId="4" borderId="2" xfId="2" applyFont="1" applyFill="1" applyBorder="1" applyProtection="1">
      <protection locked="0"/>
    </xf>
    <xf numFmtId="165" fontId="1" fillId="4" borderId="2" xfId="0" applyNumberFormat="1" applyFont="1" applyFill="1" applyBorder="1" applyProtection="1">
      <protection locked="0"/>
    </xf>
    <xf numFmtId="44" fontId="1" fillId="4" borderId="2" xfId="1" applyFont="1" applyFill="1" applyBorder="1" applyProtection="1">
      <protection locked="0"/>
    </xf>
    <xf numFmtId="0" fontId="4" fillId="2" borderId="0" xfId="0" applyFont="1" applyFill="1"/>
    <xf numFmtId="0" fontId="18" fillId="2" borderId="0" xfId="4" applyFont="1" applyFill="1"/>
    <xf numFmtId="0" fontId="1" fillId="2" borderId="0" xfId="4" applyFill="1"/>
    <xf numFmtId="0" fontId="18" fillId="0" borderId="0" xfId="4" applyFont="1"/>
    <xf numFmtId="0" fontId="1" fillId="0" borderId="0" xfId="4"/>
    <xf numFmtId="0" fontId="18" fillId="2" borderId="0" xfId="4" applyFont="1" applyFill="1" applyAlignment="1">
      <alignment horizontal="center"/>
    </xf>
    <xf numFmtId="0" fontId="1" fillId="2" borderId="0" xfId="4" applyFill="1" applyAlignment="1">
      <alignment horizontal="center"/>
    </xf>
    <xf numFmtId="0" fontId="21" fillId="2" borderId="0" xfId="4" applyFont="1" applyFill="1"/>
    <xf numFmtId="0" fontId="21" fillId="2" borderId="0" xfId="4" applyFont="1" applyFill="1" applyAlignment="1">
      <alignment vertical="center"/>
    </xf>
    <xf numFmtId="164" fontId="5" fillId="2" borderId="0" xfId="4" applyNumberFormat="1" applyFont="1" applyFill="1" applyAlignment="1">
      <alignment horizontal="center" vertical="center"/>
    </xf>
    <xf numFmtId="0" fontId="20" fillId="2" borderId="0" xfId="4" applyFont="1" applyFill="1"/>
    <xf numFmtId="0" fontId="1" fillId="2" borderId="0" xfId="4" applyFill="1" applyAlignment="1">
      <alignment vertical="center"/>
    </xf>
    <xf numFmtId="39" fontId="1" fillId="2" borderId="0" xfId="4" applyNumberFormat="1" applyFill="1" applyAlignment="1">
      <alignment vertical="center"/>
    </xf>
    <xf numFmtId="164" fontId="1" fillId="2" borderId="0" xfId="4" applyNumberFormat="1" applyFill="1" applyAlignment="1">
      <alignment vertical="center"/>
    </xf>
    <xf numFmtId="171" fontId="1" fillId="2" borderId="0" xfId="4" applyNumberFormat="1" applyFill="1" applyAlignment="1">
      <alignment vertical="center"/>
    </xf>
    <xf numFmtId="172" fontId="1" fillId="2" borderId="0" xfId="4" applyNumberFormat="1" applyFill="1" applyAlignment="1">
      <alignment vertical="center"/>
    </xf>
    <xf numFmtId="173" fontId="1" fillId="2" borderId="0" xfId="4" applyNumberFormat="1" applyFill="1" applyAlignment="1">
      <alignment vertical="center"/>
    </xf>
    <xf numFmtId="174" fontId="1" fillId="2" borderId="12" xfId="4" applyNumberFormat="1" applyFill="1" applyBorder="1" applyAlignment="1">
      <alignment vertical="center"/>
    </xf>
    <xf numFmtId="173" fontId="1" fillId="2" borderId="12" xfId="4" applyNumberFormat="1" applyFill="1" applyBorder="1" applyAlignment="1">
      <alignment vertical="center"/>
    </xf>
    <xf numFmtId="174" fontId="1" fillId="2" borderId="0" xfId="4" applyNumberFormat="1" applyFill="1" applyAlignment="1">
      <alignment vertical="center"/>
    </xf>
    <xf numFmtId="0" fontId="20" fillId="2" borderId="0" xfId="4" applyFont="1" applyFill="1" applyAlignment="1">
      <alignment vertical="center"/>
    </xf>
    <xf numFmtId="0" fontId="2" fillId="2" borderId="0" xfId="4" applyFont="1" applyFill="1" applyAlignment="1">
      <alignment vertical="center"/>
    </xf>
    <xf numFmtId="174" fontId="1" fillId="2" borderId="13" xfId="4" applyNumberFormat="1" applyFill="1" applyBorder="1" applyAlignment="1">
      <alignment vertical="center"/>
    </xf>
    <xf numFmtId="173" fontId="1" fillId="2" borderId="13" xfId="4" applyNumberFormat="1" applyFill="1" applyBorder="1" applyAlignment="1">
      <alignment vertical="center"/>
    </xf>
    <xf numFmtId="0" fontId="1" fillId="3" borderId="0" xfId="4" applyFill="1"/>
    <xf numFmtId="0" fontId="22" fillId="3" borderId="0" xfId="4" applyFont="1" applyFill="1" applyAlignment="1">
      <alignment vertical="center"/>
    </xf>
    <xf numFmtId="0" fontId="23" fillId="3" borderId="0" xfId="4" applyFont="1" applyFill="1" applyAlignment="1">
      <alignment vertical="center"/>
    </xf>
    <xf numFmtId="0" fontId="1" fillId="3" borderId="0" xfId="4" applyFill="1" applyAlignment="1">
      <alignment vertical="center"/>
    </xf>
    <xf numFmtId="164" fontId="1" fillId="3" borderId="0" xfId="4" applyNumberFormat="1" applyFill="1" applyAlignment="1">
      <alignment vertical="center"/>
    </xf>
    <xf numFmtId="174" fontId="4" fillId="3" borderId="0" xfId="4" applyNumberFormat="1" applyFont="1" applyFill="1" applyAlignment="1">
      <alignment vertical="center"/>
    </xf>
    <xf numFmtId="173" fontId="4" fillId="3" borderId="0" xfId="4" applyNumberFormat="1" applyFont="1" applyFill="1" applyAlignment="1">
      <alignment vertical="center"/>
    </xf>
    <xf numFmtId="0" fontId="2" fillId="3" borderId="0" xfId="4" applyFont="1" applyFill="1" applyAlignment="1">
      <alignment vertical="center"/>
    </xf>
    <xf numFmtId="0" fontId="20" fillId="3" borderId="0" xfId="4" applyFont="1" applyFill="1" applyAlignment="1">
      <alignment vertical="center"/>
    </xf>
    <xf numFmtId="175" fontId="4" fillId="3" borderId="0" xfId="4" applyNumberFormat="1" applyFont="1" applyFill="1" applyAlignment="1">
      <alignment vertical="center"/>
    </xf>
    <xf numFmtId="165" fontId="1" fillId="2" borderId="0" xfId="4" applyNumberFormat="1" applyFill="1" applyAlignment="1">
      <alignment vertical="center"/>
    </xf>
    <xf numFmtId="172" fontId="4" fillId="3" borderId="14" xfId="4" applyNumberFormat="1" applyFont="1" applyFill="1" applyBorder="1" applyAlignment="1">
      <alignment vertical="center"/>
    </xf>
    <xf numFmtId="173" fontId="4" fillId="3" borderId="14" xfId="4" applyNumberFormat="1" applyFont="1" applyFill="1" applyBorder="1" applyAlignment="1">
      <alignment vertical="center"/>
    </xf>
    <xf numFmtId="172" fontId="20" fillId="2" borderId="0" xfId="4" applyNumberFormat="1" applyFont="1" applyFill="1" applyAlignment="1">
      <alignment vertical="center"/>
    </xf>
    <xf numFmtId="173" fontId="20" fillId="2" borderId="0" xfId="4" applyNumberFormat="1" applyFont="1" applyFill="1" applyAlignment="1">
      <alignment vertical="center"/>
    </xf>
    <xf numFmtId="174" fontId="1" fillId="2" borderId="0" xfId="4" applyNumberFormat="1" applyFill="1"/>
    <xf numFmtId="175" fontId="1" fillId="2" borderId="13" xfId="4" applyNumberFormat="1" applyFill="1" applyBorder="1" applyAlignment="1">
      <alignment vertical="center"/>
    </xf>
    <xf numFmtId="0" fontId="1" fillId="2" borderId="15" xfId="4" applyFill="1" applyBorder="1"/>
    <xf numFmtId="176" fontId="20" fillId="3" borderId="14" xfId="4" applyNumberFormat="1" applyFont="1" applyFill="1" applyBorder="1" applyAlignment="1">
      <alignment vertical="center"/>
    </xf>
    <xf numFmtId="173" fontId="20" fillId="3" borderId="14" xfId="4" applyNumberFormat="1" applyFont="1" applyFill="1" applyBorder="1" applyAlignment="1">
      <alignment vertical="center"/>
    </xf>
    <xf numFmtId="38" fontId="18" fillId="6" borderId="0" xfId="0" applyNumberFormat="1" applyFont="1" applyFill="1" applyBorder="1" applyProtection="1">
      <protection locked="0" hidden="1"/>
    </xf>
    <xf numFmtId="0" fontId="0" fillId="2" borderId="0" xfId="0" applyFill="1" applyBorder="1"/>
    <xf numFmtId="37" fontId="1" fillId="4" borderId="2" xfId="0" applyNumberFormat="1" applyFont="1" applyFill="1" applyBorder="1" applyAlignment="1" applyProtection="1">
      <alignment vertical="center"/>
      <protection locked="0"/>
    </xf>
    <xf numFmtId="37" fontId="1" fillId="2" borderId="2" xfId="4" applyNumberFormat="1" applyFill="1" applyBorder="1"/>
    <xf numFmtId="37" fontId="1" fillId="2" borderId="0" xfId="4" applyNumberFormat="1" applyFill="1" applyBorder="1"/>
    <xf numFmtId="37" fontId="1" fillId="6" borderId="0" xfId="0" applyNumberFormat="1" applyFont="1" applyFill="1" applyBorder="1" applyAlignment="1" applyProtection="1">
      <alignment vertical="center"/>
      <protection locked="0"/>
    </xf>
    <xf numFmtId="10" fontId="1" fillId="4" borderId="2" xfId="2" applyNumberFormat="1" applyFont="1" applyFill="1" applyBorder="1" applyProtection="1">
      <protection locked="0"/>
    </xf>
    <xf numFmtId="165" fontId="1" fillId="4" borderId="2" xfId="2" applyNumberFormat="1" applyFont="1" applyFill="1" applyBorder="1" applyAlignment="1" applyProtection="1">
      <alignment vertical="center"/>
      <protection locked="0"/>
    </xf>
    <xf numFmtId="0" fontId="0" fillId="2" borderId="0" xfId="0" applyFill="1" applyProtection="1"/>
    <xf numFmtId="0" fontId="1" fillId="6" borderId="0" xfId="0" applyFont="1" applyFill="1" applyProtection="1"/>
    <xf numFmtId="0" fontId="1" fillId="2" borderId="0" xfId="0" applyFont="1" applyFill="1" applyProtection="1"/>
    <xf numFmtId="0" fontId="2" fillId="2" borderId="0" xfId="0" applyFont="1" applyFill="1" applyProtection="1"/>
    <xf numFmtId="0" fontId="0" fillId="2" borderId="0" xfId="0" applyFill="1" applyAlignment="1" applyProtection="1">
      <alignment horizontal="left" indent="1"/>
    </xf>
    <xf numFmtId="38" fontId="13" fillId="5" borderId="0" xfId="0" applyNumberFormat="1" applyFont="1" applyFill="1" applyAlignment="1" applyProtection="1">
      <alignment horizontal="center" vertical="center"/>
    </xf>
    <xf numFmtId="170" fontId="1" fillId="6" borderId="10" xfId="0" applyNumberFormat="1" applyFont="1" applyFill="1" applyBorder="1" applyProtection="1"/>
    <xf numFmtId="169" fontId="18" fillId="6" borderId="10" xfId="3" applyNumberFormat="1" applyFont="1" applyFill="1" applyBorder="1" applyProtection="1"/>
    <xf numFmtId="168" fontId="18" fillId="6" borderId="10" xfId="3" applyNumberFormat="1" applyFont="1" applyFill="1" applyBorder="1" applyProtection="1"/>
    <xf numFmtId="44" fontId="12" fillId="6" borderId="10" xfId="0" applyNumberFormat="1" applyFont="1" applyFill="1" applyBorder="1" applyProtection="1"/>
    <xf numFmtId="43" fontId="18" fillId="6" borderId="10" xfId="3" applyFont="1" applyFill="1" applyBorder="1" applyProtection="1"/>
    <xf numFmtId="0" fontId="1" fillId="6" borderId="0" xfId="0" applyFont="1" applyFill="1" applyAlignment="1" applyProtection="1">
      <alignment horizontal="left"/>
    </xf>
    <xf numFmtId="167" fontId="12" fillId="6" borderId="11" xfId="0" applyNumberFormat="1" applyFont="1" applyFill="1" applyBorder="1" applyProtection="1"/>
    <xf numFmtId="44" fontId="18" fillId="6" borderId="11" xfId="1" applyFont="1" applyFill="1" applyBorder="1" applyProtection="1"/>
    <xf numFmtId="44" fontId="0" fillId="2" borderId="0" xfId="0" applyNumberFormat="1" applyFill="1" applyProtection="1"/>
    <xf numFmtId="6" fontId="18" fillId="6" borderId="0" xfId="0" applyNumberFormat="1" applyFont="1" applyFill="1" applyBorder="1" applyProtection="1"/>
    <xf numFmtId="43" fontId="18" fillId="6" borderId="0" xfId="3" applyFont="1" applyFill="1" applyBorder="1" applyProtection="1"/>
    <xf numFmtId="0" fontId="2" fillId="6" borderId="0" xfId="0" applyFont="1" applyFill="1" applyProtection="1"/>
    <xf numFmtId="6" fontId="18" fillId="6" borderId="1" xfId="0" applyNumberFormat="1" applyFont="1" applyFill="1" applyBorder="1" applyProtection="1"/>
    <xf numFmtId="3" fontId="1" fillId="6" borderId="10" xfId="0" applyNumberFormat="1" applyFont="1" applyFill="1" applyBorder="1" applyProtection="1"/>
    <xf numFmtId="167" fontId="12" fillId="6" borderId="6" xfId="0" applyNumberFormat="1" applyFont="1" applyFill="1" applyBorder="1" applyProtection="1"/>
    <xf numFmtId="167" fontId="12" fillId="6" borderId="0" xfId="0" applyNumberFormat="1" applyFont="1" applyFill="1" applyBorder="1" applyProtection="1"/>
    <xf numFmtId="43" fontId="18" fillId="6" borderId="6" xfId="3" applyFont="1" applyFill="1" applyBorder="1" applyProtection="1"/>
    <xf numFmtId="38" fontId="18" fillId="6" borderId="1" xfId="0" applyNumberFormat="1" applyFont="1" applyFill="1" applyBorder="1" applyProtection="1"/>
    <xf numFmtId="38" fontId="18" fillId="6" borderId="0" xfId="0" applyNumberFormat="1" applyFont="1" applyFill="1" applyProtection="1"/>
    <xf numFmtId="38" fontId="18" fillId="6" borderId="0" xfId="0" applyNumberFormat="1" applyFont="1" applyFill="1" applyBorder="1" applyProtection="1"/>
    <xf numFmtId="3" fontId="1" fillId="6" borderId="16" xfId="0" applyNumberFormat="1" applyFont="1" applyFill="1" applyBorder="1" applyProtection="1"/>
    <xf numFmtId="0" fontId="0" fillId="6" borderId="0" xfId="0" applyFill="1" applyProtection="1"/>
    <xf numFmtId="0" fontId="25" fillId="6" borderId="0" xfId="0" applyFont="1" applyFill="1" applyAlignment="1" applyProtection="1">
      <alignment vertical="top"/>
    </xf>
    <xf numFmtId="0" fontId="1" fillId="6" borderId="0" xfId="0" applyFont="1" applyFill="1" applyBorder="1" applyProtection="1"/>
    <xf numFmtId="0" fontId="18" fillId="6" borderId="0" xfId="0" applyFont="1" applyFill="1" applyBorder="1" applyProtection="1"/>
    <xf numFmtId="0" fontId="19" fillId="6" borderId="0" xfId="0" applyFont="1" applyFill="1" applyBorder="1" applyProtection="1"/>
    <xf numFmtId="0" fontId="2" fillId="6" borderId="0" xfId="0" applyFont="1" applyFill="1" applyAlignment="1" applyProtection="1">
      <alignment horizontal="left"/>
    </xf>
    <xf numFmtId="167" fontId="12" fillId="6" borderId="2" xfId="0" applyNumberFormat="1" applyFont="1" applyFill="1" applyBorder="1" applyProtection="1"/>
    <xf numFmtId="44" fontId="18" fillId="6" borderId="2" xfId="1" applyFont="1" applyFill="1" applyBorder="1" applyProtection="1"/>
    <xf numFmtId="44" fontId="1" fillId="2" borderId="0" xfId="0" applyNumberFormat="1" applyFont="1" applyFill="1" applyProtection="1"/>
    <xf numFmtId="0" fontId="1" fillId="2" borderId="0" xfId="4" applyFill="1" applyAlignment="1" applyProtection="1">
      <alignment vertical="center"/>
    </xf>
    <xf numFmtId="174" fontId="1" fillId="2" borderId="0" xfId="4" applyNumberFormat="1" applyFill="1" applyAlignment="1" applyProtection="1">
      <alignment vertical="center"/>
    </xf>
    <xf numFmtId="173" fontId="1" fillId="2" borderId="0" xfId="4" applyNumberFormat="1" applyFill="1" applyAlignment="1" applyProtection="1">
      <alignment vertical="center"/>
    </xf>
    <xf numFmtId="0" fontId="20" fillId="2" borderId="0" xfId="4" applyFont="1" applyFill="1" applyProtection="1"/>
    <xf numFmtId="44" fontId="0" fillId="2" borderId="2" xfId="0" applyNumberFormat="1" applyFill="1" applyBorder="1" applyProtection="1"/>
    <xf numFmtId="0" fontId="20" fillId="2" borderId="0" xfId="4" applyFont="1" applyFill="1" applyAlignment="1" applyProtection="1">
      <alignment vertical="center"/>
    </xf>
    <xf numFmtId="165" fontId="0" fillId="2" borderId="2" xfId="2" applyNumberFormat="1" applyFont="1" applyFill="1" applyBorder="1" applyProtection="1"/>
    <xf numFmtId="165" fontId="0" fillId="2" borderId="0" xfId="0" applyNumberFormat="1" applyFill="1" applyBorder="1" applyProtection="1"/>
    <xf numFmtId="0" fontId="1" fillId="6" borderId="0" xfId="0" applyFont="1" applyFill="1" applyProtection="1">
      <protection locked="0"/>
    </xf>
    <xf numFmtId="0" fontId="18" fillId="6" borderId="0" xfId="4" applyFont="1" applyFill="1"/>
    <xf numFmtId="0" fontId="18" fillId="2" borderId="0" xfId="4" applyFont="1" applyFill="1" applyProtection="1"/>
    <xf numFmtId="0" fontId="18" fillId="6" borderId="0" xfId="4" applyFont="1" applyFill="1" applyProtection="1"/>
    <xf numFmtId="0" fontId="18" fillId="0" borderId="0" xfId="4" applyFont="1" applyProtection="1"/>
    <xf numFmtId="0" fontId="1" fillId="2" borderId="0" xfId="4" applyFill="1" applyProtection="1"/>
    <xf numFmtId="0" fontId="1" fillId="6" borderId="0" xfId="4" applyFill="1" applyProtection="1"/>
    <xf numFmtId="0" fontId="1" fillId="0" borderId="0" xfId="4" applyProtection="1"/>
    <xf numFmtId="0" fontId="18" fillId="2" borderId="0" xfId="4" applyFont="1" applyFill="1" applyAlignment="1" applyProtection="1">
      <alignment horizontal="center"/>
    </xf>
    <xf numFmtId="0" fontId="1" fillId="2" borderId="0" xfId="4" applyFill="1" applyAlignment="1" applyProtection="1">
      <alignment horizontal="center"/>
    </xf>
    <xf numFmtId="38" fontId="13" fillId="5" borderId="0" xfId="0" applyNumberFormat="1" applyFont="1" applyFill="1" applyAlignment="1" applyProtection="1">
      <alignment vertical="center"/>
    </xf>
    <xf numFmtId="0" fontId="21" fillId="2" borderId="0" xfId="4" applyFont="1" applyFill="1" applyProtection="1"/>
    <xf numFmtId="0" fontId="21" fillId="2" borderId="0" xfId="4" applyFont="1" applyFill="1" applyAlignment="1" applyProtection="1">
      <alignment vertical="center"/>
    </xf>
    <xf numFmtId="164" fontId="5" fillId="2" borderId="0" xfId="4" applyNumberFormat="1" applyFont="1" applyFill="1" applyAlignment="1" applyProtection="1">
      <alignment horizontal="center" vertical="center"/>
    </xf>
    <xf numFmtId="39" fontId="1" fillId="2" borderId="0" xfId="4" applyNumberFormat="1" applyFill="1" applyAlignment="1" applyProtection="1">
      <alignment vertical="center"/>
    </xf>
    <xf numFmtId="164" fontId="1" fillId="2" borderId="0" xfId="4" applyNumberFormat="1" applyFill="1" applyAlignment="1" applyProtection="1">
      <alignment vertical="center"/>
    </xf>
    <xf numFmtId="171" fontId="1" fillId="2" borderId="0" xfId="4" applyNumberFormat="1" applyFill="1" applyAlignment="1" applyProtection="1">
      <alignment vertical="center"/>
    </xf>
    <xf numFmtId="172" fontId="1" fillId="2" borderId="0" xfId="4" applyNumberFormat="1" applyFill="1" applyAlignment="1" applyProtection="1">
      <alignment vertical="center"/>
    </xf>
    <xf numFmtId="174" fontId="1" fillId="2" borderId="12" xfId="4" applyNumberFormat="1" applyFill="1" applyBorder="1" applyAlignment="1" applyProtection="1">
      <alignment vertical="center"/>
    </xf>
    <xf numFmtId="173" fontId="1" fillId="2" borderId="12" xfId="4" applyNumberFormat="1" applyFill="1" applyBorder="1" applyAlignment="1" applyProtection="1">
      <alignment vertical="center"/>
    </xf>
    <xf numFmtId="0" fontId="2" fillId="2" borderId="0" xfId="4" applyFont="1" applyFill="1" applyAlignment="1" applyProtection="1">
      <alignment vertical="center"/>
    </xf>
    <xf numFmtId="0" fontId="1" fillId="3" borderId="0" xfId="4" applyFill="1" applyProtection="1"/>
    <xf numFmtId="0" fontId="22" fillId="3" borderId="0" xfId="4" applyFont="1" applyFill="1" applyAlignment="1" applyProtection="1">
      <alignment vertical="center"/>
    </xf>
    <xf numFmtId="0" fontId="23" fillId="3" borderId="0" xfId="4" applyFont="1" applyFill="1" applyAlignment="1" applyProtection="1">
      <alignment vertical="center"/>
    </xf>
    <xf numFmtId="0" fontId="1" fillId="3" borderId="0" xfId="4" applyFill="1" applyAlignment="1" applyProtection="1">
      <alignment vertical="center"/>
    </xf>
    <xf numFmtId="164" fontId="1" fillId="3" borderId="0" xfId="4" applyNumberFormat="1" applyFill="1" applyAlignment="1" applyProtection="1">
      <alignment vertical="center"/>
    </xf>
    <xf numFmtId="174" fontId="4" fillId="3" borderId="0" xfId="4" applyNumberFormat="1" applyFont="1" applyFill="1" applyAlignment="1" applyProtection="1">
      <alignment vertical="center"/>
    </xf>
    <xf numFmtId="173" fontId="4" fillId="3" borderId="0" xfId="4" applyNumberFormat="1" applyFont="1" applyFill="1" applyAlignment="1" applyProtection="1">
      <alignment vertical="center"/>
    </xf>
    <xf numFmtId="174" fontId="1" fillId="2" borderId="13" xfId="4" applyNumberFormat="1" applyFill="1" applyBorder="1" applyAlignment="1" applyProtection="1">
      <alignment vertical="center"/>
    </xf>
    <xf numFmtId="37" fontId="1" fillId="2" borderId="0" xfId="4" applyNumberFormat="1" applyFill="1" applyProtection="1"/>
    <xf numFmtId="0" fontId="2" fillId="3" borderId="0" xfId="4" applyFont="1" applyFill="1" applyAlignment="1" applyProtection="1">
      <alignment vertical="center"/>
    </xf>
    <xf numFmtId="0" fontId="20" fillId="3" borderId="0" xfId="4" applyFont="1" applyFill="1" applyAlignment="1" applyProtection="1">
      <alignment vertical="center"/>
    </xf>
    <xf numFmtId="175" fontId="4" fillId="3" borderId="0" xfId="4" applyNumberFormat="1" applyFont="1" applyFill="1" applyAlignment="1" applyProtection="1">
      <alignment vertical="center"/>
    </xf>
    <xf numFmtId="165" fontId="1" fillId="2" borderId="0" xfId="4" applyNumberFormat="1" applyFill="1" applyAlignment="1" applyProtection="1">
      <alignment vertical="center"/>
    </xf>
    <xf numFmtId="173" fontId="1" fillId="2" borderId="13" xfId="4" applyNumberFormat="1" applyFill="1" applyBorder="1" applyAlignment="1" applyProtection="1">
      <alignment vertical="center"/>
    </xf>
    <xf numFmtId="172" fontId="4" fillId="3" borderId="14" xfId="4" applyNumberFormat="1" applyFont="1" applyFill="1" applyBorder="1" applyAlignment="1" applyProtection="1">
      <alignment vertical="center"/>
    </xf>
    <xf numFmtId="173" fontId="4" fillId="3" borderId="14" xfId="4" applyNumberFormat="1" applyFont="1" applyFill="1" applyBorder="1" applyAlignment="1" applyProtection="1">
      <alignment vertical="center"/>
    </xf>
    <xf numFmtId="172" fontId="20" fillId="2" borderId="0" xfId="4" applyNumberFormat="1" applyFont="1" applyFill="1" applyAlignment="1" applyProtection="1">
      <alignment vertical="center"/>
    </xf>
    <xf numFmtId="173" fontId="20" fillId="2" borderId="0" xfId="4" applyNumberFormat="1" applyFont="1" applyFill="1" applyAlignment="1" applyProtection="1">
      <alignment vertical="center"/>
    </xf>
    <xf numFmtId="174" fontId="1" fillId="2" borderId="0" xfId="4" applyNumberFormat="1" applyFill="1" applyProtection="1"/>
    <xf numFmtId="175" fontId="1" fillId="2" borderId="13" xfId="4" applyNumberFormat="1" applyFill="1" applyBorder="1" applyAlignment="1" applyProtection="1">
      <alignment vertical="center"/>
    </xf>
    <xf numFmtId="0" fontId="1" fillId="2" borderId="15" xfId="4" applyFill="1" applyBorder="1" applyProtection="1"/>
    <xf numFmtId="176" fontId="20" fillId="3" borderId="14" xfId="4" applyNumberFormat="1" applyFont="1" applyFill="1" applyBorder="1" applyAlignment="1" applyProtection="1">
      <alignment vertical="center"/>
    </xf>
    <xf numFmtId="173" fontId="20" fillId="3" borderId="14" xfId="4" applyNumberFormat="1" applyFont="1" applyFill="1" applyBorder="1" applyAlignment="1" applyProtection="1">
      <alignment vertical="center"/>
    </xf>
    <xf numFmtId="37" fontId="1" fillId="2" borderId="2" xfId="4" applyNumberFormat="1" applyFill="1" applyBorder="1" applyProtection="1">
      <protection locked="0"/>
    </xf>
    <xf numFmtId="38" fontId="13" fillId="5" borderId="16" xfId="0" applyNumberFormat="1" applyFont="1" applyFill="1" applyBorder="1" applyAlignment="1" applyProtection="1">
      <alignment horizontal="center" vertical="center"/>
    </xf>
    <xf numFmtId="0" fontId="0" fillId="0" borderId="0" xfId="0" applyProtection="1"/>
    <xf numFmtId="0" fontId="4" fillId="2" borderId="0" xfId="0" applyFont="1" applyFill="1" applyProtection="1"/>
    <xf numFmtId="0" fontId="2" fillId="2" borderId="0" xfId="0" applyFont="1" applyFill="1" applyAlignment="1" applyProtection="1">
      <alignment horizontal="center" wrapText="1"/>
    </xf>
    <xf numFmtId="0" fontId="2" fillId="2" borderId="0" xfId="0" applyFont="1" applyFill="1" applyAlignment="1" applyProtection="1">
      <alignment horizontal="center"/>
    </xf>
    <xf numFmtId="0" fontId="2" fillId="2" borderId="0" xfId="0" applyFont="1" applyFill="1" applyAlignment="1" applyProtection="1">
      <alignment wrapText="1"/>
    </xf>
    <xf numFmtId="0" fontId="0" fillId="2" borderId="0" xfId="0" applyFill="1" applyAlignment="1" applyProtection="1">
      <alignment horizontal="right"/>
    </xf>
    <xf numFmtId="0" fontId="6" fillId="2" borderId="0" xfId="0" applyFont="1" applyFill="1" applyProtection="1"/>
    <xf numFmtId="164" fontId="5" fillId="2" borderId="0" xfId="0" applyNumberFormat="1" applyFont="1" applyFill="1" applyAlignment="1" applyProtection="1">
      <alignment horizontal="right" vertical="center"/>
    </xf>
    <xf numFmtId="0" fontId="1" fillId="3" borderId="0" xfId="0" applyFont="1" applyFill="1" applyProtection="1"/>
    <xf numFmtId="0" fontId="2" fillId="2" borderId="0" xfId="0" applyFont="1" applyFill="1" applyAlignment="1" applyProtection="1">
      <alignment horizontal="right"/>
    </xf>
    <xf numFmtId="0" fontId="2" fillId="6" borderId="0" xfId="0" applyFont="1" applyFill="1" applyAlignment="1" applyProtection="1">
      <alignment vertical="center"/>
    </xf>
    <xf numFmtId="3" fontId="1" fillId="2" borderId="0" xfId="0" applyNumberFormat="1" applyFont="1" applyFill="1" applyProtection="1"/>
    <xf numFmtId="3" fontId="1" fillId="2" borderId="0" xfId="0" applyNumberFormat="1" applyFont="1" applyFill="1" applyAlignment="1" applyProtection="1">
      <alignment horizontal="right"/>
    </xf>
    <xf numFmtId="0" fontId="4" fillId="2" borderId="0" xfId="0" applyFont="1" applyFill="1" applyAlignment="1" applyProtection="1">
      <alignment vertical="center"/>
    </xf>
    <xf numFmtId="0" fontId="1" fillId="2" borderId="0" xfId="0" applyFont="1" applyFill="1" applyAlignment="1" applyProtection="1">
      <alignment vertical="center"/>
    </xf>
    <xf numFmtId="164" fontId="2" fillId="2" borderId="0" xfId="0" applyNumberFormat="1" applyFont="1" applyFill="1" applyAlignment="1" applyProtection="1">
      <alignment horizontal="center" vertical="center"/>
    </xf>
    <xf numFmtId="166" fontId="1" fillId="2" borderId="0" xfId="0" applyNumberFormat="1" applyFont="1" applyFill="1" applyProtection="1"/>
    <xf numFmtId="0" fontId="2" fillId="2" borderId="0" xfId="0" applyFont="1" applyFill="1" applyAlignment="1" applyProtection="1">
      <alignment vertical="center"/>
    </xf>
    <xf numFmtId="164" fontId="2" fillId="2" borderId="0" xfId="0" applyNumberFormat="1" applyFont="1" applyFill="1" applyAlignment="1" applyProtection="1">
      <alignment vertical="center"/>
    </xf>
    <xf numFmtId="0" fontId="4" fillId="2" borderId="0" xfId="0" applyFont="1" applyFill="1" applyAlignment="1" applyProtection="1">
      <alignment horizontal="left" vertical="center"/>
    </xf>
    <xf numFmtId="166" fontId="1" fillId="3" borderId="0" xfId="0" applyNumberFormat="1" applyFont="1" applyFill="1" applyProtection="1"/>
    <xf numFmtId="0" fontId="1" fillId="3" borderId="0" xfId="0" applyFont="1" applyFill="1" applyAlignment="1" applyProtection="1">
      <alignment vertical="center"/>
    </xf>
    <xf numFmtId="37" fontId="2" fillId="6" borderId="0" xfId="0" applyNumberFormat="1" applyFont="1" applyFill="1" applyProtection="1"/>
    <xf numFmtId="164" fontId="2" fillId="3" borderId="0" xfId="0" applyNumberFormat="1" applyFont="1" applyFill="1" applyAlignment="1" applyProtection="1">
      <alignment vertical="center"/>
    </xf>
    <xf numFmtId="164" fontId="1" fillId="2" borderId="0" xfId="0" applyNumberFormat="1" applyFont="1" applyFill="1" applyAlignment="1" applyProtection="1">
      <alignment vertical="center"/>
    </xf>
    <xf numFmtId="0" fontId="1" fillId="0" borderId="0" xfId="0" applyFont="1" applyAlignment="1" applyProtection="1">
      <alignment vertical="center"/>
    </xf>
    <xf numFmtId="165" fontId="1" fillId="2" borderId="0" xfId="0" applyNumberFormat="1" applyFont="1" applyFill="1" applyProtection="1"/>
    <xf numFmtId="37" fontId="2" fillId="2" borderId="0" xfId="0" applyNumberFormat="1" applyFont="1" applyFill="1" applyAlignment="1" applyProtection="1">
      <alignment vertical="center"/>
    </xf>
    <xf numFmtId="0" fontId="1" fillId="2" borderId="1" xfId="0" applyFont="1" applyFill="1" applyBorder="1" applyProtection="1"/>
    <xf numFmtId="44" fontId="0" fillId="2" borderId="0" xfId="1" applyFont="1" applyFill="1" applyProtection="1"/>
    <xf numFmtId="44" fontId="1" fillId="6" borderId="0" xfId="0" applyNumberFormat="1" applyFont="1" applyFill="1" applyProtection="1"/>
    <xf numFmtId="9" fontId="1" fillId="6" borderId="0" xfId="2" applyFont="1" applyFill="1" applyBorder="1" applyAlignment="1" applyProtection="1">
      <alignment horizontal="center"/>
    </xf>
    <xf numFmtId="0" fontId="0" fillId="6" borderId="0" xfId="0" applyFill="1" applyBorder="1" applyAlignment="1" applyProtection="1">
      <alignment horizontal="center"/>
    </xf>
    <xf numFmtId="170" fontId="1" fillId="4" borderId="2" xfId="0" applyNumberFormat="1" applyFont="1" applyFill="1" applyBorder="1" applyProtection="1">
      <protection locked="0"/>
    </xf>
    <xf numFmtId="170" fontId="2" fillId="4" borderId="2" xfId="0" applyNumberFormat="1" applyFont="1" applyFill="1" applyBorder="1" applyProtection="1">
      <protection locked="0"/>
    </xf>
    <xf numFmtId="0" fontId="2" fillId="2" borderId="0" xfId="0" applyFont="1" applyFill="1" applyAlignment="1" applyProtection="1">
      <alignment horizontal="left"/>
    </xf>
    <xf numFmtId="0" fontId="20" fillId="2" borderId="0" xfId="0" applyFont="1" applyFill="1" applyProtection="1"/>
    <xf numFmtId="0" fontId="6" fillId="2" borderId="0" xfId="0" applyFont="1" applyFill="1" applyAlignment="1">
      <alignment horizontal="left" vertical="center" wrapText="1"/>
    </xf>
    <xf numFmtId="0" fontId="0" fillId="0" borderId="0" xfId="0" applyAlignment="1">
      <alignment horizontal="left" vertical="center" wrapText="1"/>
    </xf>
    <xf numFmtId="0" fontId="4" fillId="2" borderId="6" xfId="0" applyFont="1" applyFill="1" applyBorder="1" applyAlignment="1" applyProtection="1">
      <alignment horizontal="center"/>
    </xf>
    <xf numFmtId="0" fontId="4" fillId="2" borderId="0" xfId="0" applyFont="1" applyFill="1" applyProtection="1"/>
    <xf numFmtId="0" fontId="0" fillId="0" borderId="0" xfId="0" applyProtection="1"/>
    <xf numFmtId="0" fontId="11" fillId="6" borderId="0" xfId="4" applyFont="1" applyFill="1" applyAlignment="1" applyProtection="1">
      <alignment horizontal="center"/>
      <protection locked="0"/>
    </xf>
    <xf numFmtId="0" fontId="10" fillId="6" borderId="0" xfId="4" applyFont="1" applyFill="1" applyAlignment="1" applyProtection="1">
      <alignment horizontal="center"/>
      <protection locked="0"/>
    </xf>
    <xf numFmtId="0" fontId="20" fillId="2" borderId="0" xfId="4" applyFont="1" applyFill="1" applyAlignment="1" applyProtection="1">
      <alignment horizontal="center"/>
      <protection locked="0"/>
    </xf>
    <xf numFmtId="38" fontId="13" fillId="5" borderId="0" xfId="0"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38" fontId="13" fillId="5" borderId="0" xfId="0" applyNumberFormat="1" applyFont="1" applyFill="1" applyAlignment="1" applyProtection="1">
      <alignment horizontal="center" vertical="center"/>
    </xf>
    <xf numFmtId="0" fontId="0" fillId="0" borderId="0" xfId="0" applyAlignment="1" applyProtection="1">
      <alignment horizontal="center" vertical="center"/>
    </xf>
    <xf numFmtId="0" fontId="11" fillId="2" borderId="0" xfId="4" applyFont="1" applyFill="1" applyAlignment="1">
      <alignment horizontal="center"/>
    </xf>
    <xf numFmtId="0" fontId="10" fillId="2" borderId="0" xfId="4" applyFont="1" applyFill="1" applyAlignment="1">
      <alignment horizontal="center"/>
    </xf>
    <xf numFmtId="0" fontId="20" fillId="2" borderId="0" xfId="4" applyFont="1" applyFill="1" applyAlignment="1">
      <alignment horizontal="center"/>
    </xf>
    <xf numFmtId="38" fontId="13" fillId="5" borderId="0" xfId="0" applyNumberFormat="1" applyFont="1" applyFill="1" applyAlignment="1">
      <alignment horizontal="center" vertical="center"/>
    </xf>
    <xf numFmtId="0" fontId="0" fillId="0" borderId="0" xfId="0" applyAlignment="1">
      <alignment horizontal="center" vertical="center"/>
    </xf>
    <xf numFmtId="0" fontId="2" fillId="2" borderId="0" xfId="0" applyFont="1" applyFill="1"/>
  </cellXfs>
  <cellStyles count="5">
    <cellStyle name="Comma" xfId="3" builtinId="3"/>
    <cellStyle name="Currency" xfId="1" builtinId="4"/>
    <cellStyle name="Normal" xfId="0" builtinId="0"/>
    <cellStyle name="Normal 2" xfId="4" xr:uid="{1405E39A-8169-446E-A517-B1D50D01C1D7}"/>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BFFDB"/>
      <rgbColor rgb="000000FF"/>
      <rgbColor rgb="00FFFF00"/>
      <rgbColor rgb="00FF00FF"/>
      <rgbColor rgb="0000FFFF"/>
      <rgbColor rgb="00800000"/>
      <rgbColor rgb="00008000"/>
      <rgbColor rgb="00000080"/>
      <rgbColor rgb="00808000"/>
      <rgbColor rgb="00FFFFCC"/>
      <rgbColor rgb="00008080"/>
      <rgbColor rgb="00EAEAEA"/>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0D3"/>
      <rgbColor rgb="0099CCFF"/>
      <rgbColor rgb="00FFE7FF"/>
      <rgbColor rgb="00CC99FF"/>
      <rgbColor rgb="00FFCC99"/>
      <rgbColor rgb="003366FF"/>
      <rgbColor rgb="0033CCCC"/>
      <rgbColor rgb="0099CC00"/>
      <rgbColor rgb="00FFCC00"/>
      <rgbColor rgb="00FF9900"/>
      <rgbColor rgb="00FF6600"/>
      <rgbColor rgb="00666699"/>
      <rgbColor rgb="00F8F8F8"/>
      <rgbColor rgb="00003366"/>
      <rgbColor rgb="00339966"/>
      <rgbColor rgb="00003300"/>
      <rgbColor rgb="00333300"/>
      <rgbColor rgb="00993300"/>
      <rgbColor rgb="00993366"/>
      <rgbColor rgb="00333399"/>
      <rgbColor rgb="00333333"/>
    </indexedColors>
    <mruColors>
      <color rgb="FFFFFF99"/>
      <color rgb="FFEBEE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14</xdr:row>
      <xdr:rowOff>155540</xdr:rowOff>
    </xdr:from>
    <xdr:to>
      <xdr:col>2</xdr:col>
      <xdr:colOff>809625</xdr:colOff>
      <xdr:row>18</xdr:row>
      <xdr:rowOff>139734</xdr:rowOff>
    </xdr:to>
    <xdr:pic>
      <xdr:nvPicPr>
        <xdr:cNvPr id="2066" name="Picture 14">
          <a:extLst>
            <a:ext uri="{FF2B5EF4-FFF2-40B4-BE49-F238E27FC236}">
              <a16:creationId xmlns:a16="http://schemas.microsoft.com/office/drawing/2014/main" id="{F6C1995B-2FEB-4F23-AB1F-397F69B4A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0100" y="6759540"/>
          <a:ext cx="2359025" cy="835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85725</xdr:rowOff>
    </xdr:from>
    <xdr:to>
      <xdr:col>0</xdr:col>
      <xdr:colOff>571500</xdr:colOff>
      <xdr:row>2</xdr:row>
      <xdr:rowOff>219075</xdr:rowOff>
    </xdr:to>
    <xdr:sp macro="" textlink="">
      <xdr:nvSpPr>
        <xdr:cNvPr id="2" name="Arrow: Right 1">
          <a:extLst>
            <a:ext uri="{FF2B5EF4-FFF2-40B4-BE49-F238E27FC236}">
              <a16:creationId xmlns:a16="http://schemas.microsoft.com/office/drawing/2014/main" id="{F28A2DD5-F794-41A9-BD53-71E4695E4DCB}"/>
            </a:ext>
          </a:extLst>
        </xdr:cNvPr>
        <xdr:cNvSpPr/>
      </xdr:nvSpPr>
      <xdr:spPr>
        <a:xfrm>
          <a:off x="38100" y="409575"/>
          <a:ext cx="533400" cy="13335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800">
            <a:solidFill>
              <a:schemeClr val="bg1"/>
            </a:solidFill>
          </a:endParaRPr>
        </a:p>
      </xdr:txBody>
    </xdr:sp>
    <xdr:clientData/>
  </xdr:twoCellAnchor>
  <xdr:twoCellAnchor>
    <xdr:from>
      <xdr:col>15</xdr:col>
      <xdr:colOff>47626</xdr:colOff>
      <xdr:row>31</xdr:row>
      <xdr:rowOff>19050</xdr:rowOff>
    </xdr:from>
    <xdr:to>
      <xdr:col>19</xdr:col>
      <xdr:colOff>47626</xdr:colOff>
      <xdr:row>42</xdr:row>
      <xdr:rowOff>19050</xdr:rowOff>
    </xdr:to>
    <xdr:sp macro="" textlink="">
      <xdr:nvSpPr>
        <xdr:cNvPr id="3" name="TextBox 2">
          <a:extLst>
            <a:ext uri="{FF2B5EF4-FFF2-40B4-BE49-F238E27FC236}">
              <a16:creationId xmlns:a16="http://schemas.microsoft.com/office/drawing/2014/main" id="{55678331-EA58-4DA4-9538-4F7A97B1BC9D}"/>
            </a:ext>
          </a:extLst>
        </xdr:cNvPr>
        <xdr:cNvSpPr txBox="1"/>
      </xdr:nvSpPr>
      <xdr:spPr>
        <a:xfrm>
          <a:off x="10563226" y="5800725"/>
          <a:ext cx="217170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Copy and use Paste Values into the Input Worksheet</a:t>
          </a:r>
        </a:p>
      </xdr:txBody>
    </xdr:sp>
    <xdr:clientData/>
  </xdr:twoCellAnchor>
  <xdr:twoCellAnchor>
    <xdr:from>
      <xdr:col>5</xdr:col>
      <xdr:colOff>504825</xdr:colOff>
      <xdr:row>29</xdr:row>
      <xdr:rowOff>114300</xdr:rowOff>
    </xdr:from>
    <xdr:to>
      <xdr:col>19</xdr:col>
      <xdr:colOff>285750</xdr:colOff>
      <xdr:row>43</xdr:row>
      <xdr:rowOff>142875</xdr:rowOff>
    </xdr:to>
    <xdr:sp macro="" textlink="">
      <xdr:nvSpPr>
        <xdr:cNvPr id="4" name="Rectangle: Rounded Corners 3">
          <a:extLst>
            <a:ext uri="{FF2B5EF4-FFF2-40B4-BE49-F238E27FC236}">
              <a16:creationId xmlns:a16="http://schemas.microsoft.com/office/drawing/2014/main" id="{6D5F351C-7BE6-49D6-B24F-DAD3BED1ED90}"/>
            </a:ext>
          </a:extLst>
        </xdr:cNvPr>
        <xdr:cNvSpPr/>
      </xdr:nvSpPr>
      <xdr:spPr>
        <a:xfrm>
          <a:off x="3790950" y="5572125"/>
          <a:ext cx="9753600" cy="23717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8"/>
  <sheetViews>
    <sheetView tabSelected="1" zoomScaleNormal="100" workbookViewId="0">
      <selection activeCell="P28" sqref="P28"/>
    </sheetView>
  </sheetViews>
  <sheetFormatPr defaultRowHeight="12.75" x14ac:dyDescent="0.2"/>
  <cols>
    <col min="1" max="1" width="9.140625" style="1"/>
    <col min="2" max="2" width="26.140625" style="1" customWidth="1"/>
    <col min="3" max="3" width="12.85546875" style="1" customWidth="1"/>
    <col min="4" max="4" width="28.5703125" style="3" customWidth="1"/>
    <col min="5" max="5" width="5" style="1" customWidth="1"/>
    <col min="6" max="6" width="3" style="1" customWidth="1"/>
    <col min="7" max="7" width="53" style="7" customWidth="1"/>
    <col min="8" max="8" width="9.140625" style="1"/>
    <col min="9" max="9" width="1.28515625" style="1" customWidth="1"/>
    <col min="10" max="16384" width="9.140625" style="1"/>
  </cols>
  <sheetData>
    <row r="1" spans="2:13" ht="20.25" customHeight="1" x14ac:dyDescent="0.2"/>
    <row r="2" spans="2:13" ht="20.25" customHeight="1" x14ac:dyDescent="0.25">
      <c r="B2" s="10" t="s">
        <v>60</v>
      </c>
      <c r="C2" s="10"/>
      <c r="D2" s="7"/>
    </row>
    <row r="3" spans="2:13" s="6" customFormat="1" ht="18" customHeight="1" x14ac:dyDescent="0.25">
      <c r="B3" s="4" t="s">
        <v>63</v>
      </c>
      <c r="C3" s="4"/>
      <c r="D3" s="9"/>
      <c r="G3" s="8"/>
    </row>
    <row r="4" spans="2:13" s="6" customFormat="1" ht="18" customHeight="1" x14ac:dyDescent="0.25">
      <c r="B4" s="5" t="s">
        <v>64</v>
      </c>
      <c r="C4" s="5"/>
      <c r="D4" s="8"/>
      <c r="G4" s="8"/>
    </row>
    <row r="5" spans="2:13" s="6" customFormat="1" ht="18" customHeight="1" x14ac:dyDescent="0.25">
      <c r="B5" s="5" t="s">
        <v>87</v>
      </c>
      <c r="C5" s="5"/>
      <c r="D5" s="8"/>
      <c r="G5" s="8"/>
    </row>
    <row r="6" spans="2:13" s="6" customFormat="1" ht="18" customHeight="1" x14ac:dyDescent="0.25">
      <c r="B6" s="4" t="s">
        <v>65</v>
      </c>
      <c r="C6" s="5"/>
      <c r="D6" s="8"/>
      <c r="G6" s="8"/>
      <c r="J6" s="207" t="s">
        <v>197</v>
      </c>
      <c r="K6" s="207"/>
      <c r="L6" s="207"/>
      <c r="M6" s="207"/>
    </row>
    <row r="7" spans="2:13" s="6" customFormat="1" ht="18" customHeight="1" x14ac:dyDescent="0.25">
      <c r="B7" s="4" t="s">
        <v>66</v>
      </c>
      <c r="C7" s="5"/>
      <c r="D7" s="8"/>
      <c r="G7" s="8"/>
      <c r="H7" s="75">
        <v>99999</v>
      </c>
      <c r="I7" s="76"/>
      <c r="J7" s="207"/>
      <c r="K7" s="207"/>
      <c r="L7" s="207"/>
      <c r="M7" s="207"/>
    </row>
    <row r="8" spans="2:13" s="6" customFormat="1" ht="18" customHeight="1" x14ac:dyDescent="0.25">
      <c r="B8" s="28" t="s">
        <v>196</v>
      </c>
      <c r="C8" s="5"/>
      <c r="D8" s="8"/>
      <c r="G8" s="8"/>
      <c r="J8" s="207"/>
      <c r="K8" s="207"/>
      <c r="L8" s="207"/>
      <c r="M8" s="207"/>
    </row>
    <row r="9" spans="2:13" s="6" customFormat="1" ht="18" customHeight="1" x14ac:dyDescent="0.25">
      <c r="B9" s="4" t="s">
        <v>88</v>
      </c>
      <c r="C9" s="5"/>
      <c r="D9" s="8"/>
      <c r="G9" s="8"/>
      <c r="J9" s="208"/>
      <c r="K9" s="208"/>
      <c r="L9" s="208"/>
      <c r="M9" s="208"/>
    </row>
    <row r="10" spans="2:13" s="6" customFormat="1" ht="18" customHeight="1" x14ac:dyDescent="0.25">
      <c r="B10" s="4" t="s">
        <v>195</v>
      </c>
      <c r="C10" s="5"/>
      <c r="D10" s="8"/>
      <c r="G10" s="8"/>
      <c r="J10" s="207" t="s">
        <v>198</v>
      </c>
      <c r="K10" s="207"/>
      <c r="L10" s="207"/>
      <c r="M10" s="207"/>
    </row>
    <row r="11" spans="2:13" s="6" customFormat="1" ht="18" customHeight="1" x14ac:dyDescent="0.25">
      <c r="B11" s="4" t="s">
        <v>89</v>
      </c>
      <c r="C11" s="5"/>
      <c r="D11" s="8"/>
      <c r="G11" s="8"/>
      <c r="H11" s="74">
        <v>99999</v>
      </c>
      <c r="I11" s="77"/>
      <c r="J11" s="207"/>
      <c r="K11" s="207"/>
      <c r="L11" s="207"/>
      <c r="M11" s="207"/>
    </row>
    <row r="12" spans="2:13" s="6" customFormat="1" ht="18" customHeight="1" x14ac:dyDescent="0.25">
      <c r="B12" s="4" t="s">
        <v>67</v>
      </c>
      <c r="C12" s="5"/>
      <c r="D12" s="8"/>
      <c r="G12" s="8"/>
      <c r="J12" s="207"/>
      <c r="K12" s="207"/>
      <c r="L12" s="207"/>
      <c r="M12" s="207"/>
    </row>
    <row r="13" spans="2:13" s="6" customFormat="1" ht="18" customHeight="1" x14ac:dyDescent="0.25">
      <c r="B13" s="4" t="s">
        <v>68</v>
      </c>
      <c r="C13" s="5"/>
      <c r="D13" s="8"/>
      <c r="G13" s="8"/>
      <c r="J13" s="208"/>
      <c r="K13" s="208"/>
      <c r="L13" s="208"/>
      <c r="M13" s="208"/>
    </row>
    <row r="14" spans="2:13" s="6" customFormat="1" ht="18" customHeight="1" x14ac:dyDescent="0.25">
      <c r="B14" s="4" t="s">
        <v>69</v>
      </c>
      <c r="C14" s="5"/>
      <c r="D14" s="8"/>
      <c r="G14" s="8"/>
    </row>
    <row r="15" spans="2:13" s="6" customFormat="1" ht="18" customHeight="1" x14ac:dyDescent="0.25">
      <c r="B15" s="5"/>
      <c r="C15" s="5"/>
      <c r="D15" s="8"/>
      <c r="G15" s="8"/>
    </row>
    <row r="16" spans="2:13" s="6" customFormat="1" ht="18" customHeight="1" x14ac:dyDescent="0.25">
      <c r="B16" s="5"/>
      <c r="C16" s="5"/>
      <c r="D16" s="8"/>
      <c r="G16" s="8"/>
    </row>
    <row r="17" spans="2:7" s="6" customFormat="1" ht="18" customHeight="1" x14ac:dyDescent="0.25">
      <c r="B17" s="5"/>
      <c r="C17" s="5"/>
      <c r="D17" s="8"/>
      <c r="G17" s="8"/>
    </row>
    <row r="19" spans="2:7" x14ac:dyDescent="0.2">
      <c r="D19" s="2"/>
    </row>
    <row r="21" spans="2:7" ht="15.75" x14ac:dyDescent="0.25">
      <c r="C21" s="11"/>
      <c r="D21" s="11"/>
      <c r="E21" s="11"/>
    </row>
    <row r="22" spans="2:7" x14ac:dyDescent="0.2">
      <c r="B22" s="224" t="s">
        <v>215</v>
      </c>
      <c r="D22" s="1"/>
    </row>
    <row r="23" spans="2:7" x14ac:dyDescent="0.2">
      <c r="B23" s="224" t="s">
        <v>216</v>
      </c>
      <c r="D23" s="1"/>
    </row>
    <row r="24" spans="2:7" x14ac:dyDescent="0.2">
      <c r="B24" s="224" t="s">
        <v>217</v>
      </c>
      <c r="D24" s="1"/>
    </row>
    <row r="25" spans="2:7" x14ac:dyDescent="0.2">
      <c r="D25" s="1"/>
    </row>
    <row r="26" spans="2:7" x14ac:dyDescent="0.2">
      <c r="D26" s="1"/>
    </row>
    <row r="27" spans="2:7" x14ac:dyDescent="0.2">
      <c r="D27" s="1"/>
    </row>
    <row r="28" spans="2:7" x14ac:dyDescent="0.2">
      <c r="D28" s="1"/>
    </row>
  </sheetData>
  <sheetProtection selectLockedCells="1"/>
  <mergeCells count="2">
    <mergeCell ref="J6:M9"/>
    <mergeCell ref="J10:M13"/>
  </mergeCells>
  <phoneticPr fontId="7" type="noConversion"/>
  <printOptions horizontalCentered="1"/>
  <pageMargins left="0.5" right="0.5" top="0.75" bottom="0.75" header="0.5" footer="0.5"/>
  <pageSetup scale="90" orientation="portrait" r:id="rId1"/>
  <headerFooter alignWithMargins="0">
    <oddHeader>&amp;L&amp;D</oddHeader>
    <oddFooter>&amp;LWorksheet: &amp;A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67F4-6739-4C67-B669-1C5BD5DC9B00}">
  <dimension ref="A2:BY329"/>
  <sheetViews>
    <sheetView zoomScale="120" zoomScaleNormal="120" workbookViewId="0">
      <selection activeCell="I3" sqref="I3"/>
    </sheetView>
  </sheetViews>
  <sheetFormatPr defaultRowHeight="12.75" x14ac:dyDescent="0.2"/>
  <cols>
    <col min="1" max="1" width="11.28515625" style="80" customWidth="1"/>
    <col min="2" max="2" width="3.140625" style="80" customWidth="1"/>
    <col min="3" max="6" width="9.140625" style="80"/>
    <col min="7" max="7" width="12" style="80" customWidth="1"/>
    <col min="8" max="8" width="1.7109375" style="80" customWidth="1"/>
    <col min="9" max="9" width="10.42578125" style="80" bestFit="1" customWidth="1"/>
    <col min="10" max="10" width="1.7109375" style="80" customWidth="1"/>
    <col min="11" max="11" width="10.42578125" style="80" bestFit="1" customWidth="1"/>
    <col min="12" max="12" width="1.7109375" style="80" customWidth="1"/>
    <col min="13" max="13" width="10.42578125" style="80" bestFit="1" customWidth="1"/>
    <col min="14" max="14" width="1.7109375" style="80" customWidth="1"/>
    <col min="15" max="15" width="10.42578125" style="80" bestFit="1" customWidth="1"/>
    <col min="16" max="16" width="1.7109375" style="80" customWidth="1"/>
    <col min="17" max="17" width="10.42578125" style="80" bestFit="1" customWidth="1"/>
    <col min="18" max="18" width="19.140625" style="80" customWidth="1"/>
    <col min="19" max="19" width="9.140625" style="80"/>
    <col min="20" max="20" width="1.7109375" style="80" customWidth="1"/>
    <col min="21" max="21" width="9.140625" style="80"/>
    <col min="22" max="22" width="3.28515625" style="80" customWidth="1"/>
    <col min="23" max="77" width="9.140625" style="80"/>
    <col min="78" max="16384" width="9.140625" style="170"/>
  </cols>
  <sheetData>
    <row r="2" spans="2:22" ht="15" x14ac:dyDescent="0.25">
      <c r="B2" s="14"/>
      <c r="C2" s="209" t="s">
        <v>77</v>
      </c>
      <c r="D2" s="209"/>
      <c r="E2" s="209"/>
      <c r="F2" s="209"/>
      <c r="G2" s="209"/>
      <c r="H2" s="15"/>
      <c r="I2" s="15"/>
      <c r="J2" s="15"/>
      <c r="K2" s="15"/>
      <c r="L2" s="15"/>
      <c r="M2" s="15"/>
      <c r="N2" s="15"/>
      <c r="O2" s="15"/>
      <c r="P2" s="15"/>
      <c r="Q2" s="15"/>
      <c r="R2" s="15"/>
      <c r="S2" s="15"/>
      <c r="T2" s="15"/>
      <c r="U2" s="15"/>
      <c r="V2" s="16"/>
    </row>
    <row r="3" spans="2:22" s="80" customFormat="1" ht="18.75" customHeight="1" x14ac:dyDescent="0.2">
      <c r="B3" s="17"/>
      <c r="C3" s="82" t="s">
        <v>72</v>
      </c>
      <c r="G3" s="24">
        <v>7</v>
      </c>
      <c r="V3" s="19"/>
    </row>
    <row r="4" spans="2:22" s="80" customFormat="1" x14ac:dyDescent="0.2">
      <c r="B4" s="17"/>
      <c r="C4" s="82" t="s">
        <v>90</v>
      </c>
      <c r="G4" s="24">
        <v>12</v>
      </c>
      <c r="V4" s="19"/>
    </row>
    <row r="5" spans="2:22" s="80" customFormat="1" x14ac:dyDescent="0.2">
      <c r="B5" s="17"/>
      <c r="C5" s="82"/>
      <c r="V5" s="19"/>
    </row>
    <row r="6" spans="2:22" s="80" customFormat="1" ht="26.25" x14ac:dyDescent="0.25">
      <c r="B6" s="17"/>
      <c r="C6" s="171" t="s">
        <v>106</v>
      </c>
      <c r="I6" s="172" t="s">
        <v>110</v>
      </c>
      <c r="V6" s="19"/>
    </row>
    <row r="7" spans="2:22" s="80" customFormat="1" x14ac:dyDescent="0.2">
      <c r="B7" s="17"/>
      <c r="C7" s="82"/>
      <c r="D7" s="82" t="s">
        <v>107</v>
      </c>
      <c r="G7" s="24">
        <v>150</v>
      </c>
      <c r="I7" s="25">
        <v>0.85</v>
      </c>
      <c r="V7" s="19"/>
    </row>
    <row r="8" spans="2:22" s="80" customFormat="1" x14ac:dyDescent="0.2">
      <c r="B8" s="17"/>
      <c r="C8" s="82"/>
      <c r="D8" s="82" t="s">
        <v>111</v>
      </c>
      <c r="G8" s="25">
        <v>0.25</v>
      </c>
      <c r="I8" s="25">
        <v>0.85</v>
      </c>
      <c r="V8" s="19"/>
    </row>
    <row r="9" spans="2:22" s="80" customFormat="1" x14ac:dyDescent="0.2">
      <c r="B9" s="17"/>
      <c r="C9" s="82"/>
      <c r="D9" s="82" t="s">
        <v>108</v>
      </c>
      <c r="G9" s="25">
        <v>0.5</v>
      </c>
      <c r="I9" s="25">
        <v>0.85</v>
      </c>
      <c r="V9" s="19"/>
    </row>
    <row r="10" spans="2:22" s="80" customFormat="1" x14ac:dyDescent="0.2">
      <c r="B10" s="17"/>
      <c r="C10" s="82"/>
      <c r="D10" s="82" t="s">
        <v>109</v>
      </c>
      <c r="G10" s="25">
        <v>1</v>
      </c>
      <c r="I10" s="25">
        <v>0.85</v>
      </c>
      <c r="V10" s="19"/>
    </row>
    <row r="11" spans="2:22" s="80" customFormat="1" ht="51.75" x14ac:dyDescent="0.25">
      <c r="B11" s="17"/>
      <c r="C11" s="171" t="s">
        <v>99</v>
      </c>
      <c r="G11" s="172" t="s">
        <v>123</v>
      </c>
      <c r="H11" s="173"/>
      <c r="I11" s="172" t="s">
        <v>98</v>
      </c>
      <c r="J11" s="173"/>
      <c r="K11" s="172" t="s">
        <v>73</v>
      </c>
      <c r="L11" s="173"/>
      <c r="M11" s="172" t="s">
        <v>101</v>
      </c>
      <c r="N11" s="173"/>
      <c r="O11" s="172" t="s">
        <v>212</v>
      </c>
      <c r="P11" s="173"/>
      <c r="Q11" s="174" t="s">
        <v>105</v>
      </c>
      <c r="T11" s="173"/>
      <c r="V11" s="19"/>
    </row>
    <row r="12" spans="2:22" s="80" customFormat="1" ht="12.75" customHeight="1" x14ac:dyDescent="0.2">
      <c r="B12" s="17"/>
      <c r="D12" s="82" t="s">
        <v>100</v>
      </c>
      <c r="E12" s="81"/>
      <c r="F12" s="81"/>
      <c r="G12" s="27">
        <v>22.5</v>
      </c>
      <c r="I12" s="25">
        <v>0.25</v>
      </c>
      <c r="K12" s="25">
        <v>0</v>
      </c>
      <c r="M12" s="201">
        <f>I12+K12</f>
        <v>0.25</v>
      </c>
      <c r="O12" s="25">
        <v>0.8</v>
      </c>
      <c r="V12" s="19"/>
    </row>
    <row r="13" spans="2:22" s="80" customFormat="1" ht="12.75" customHeight="1" x14ac:dyDescent="0.2">
      <c r="B13" s="17"/>
      <c r="D13" s="81" t="s">
        <v>96</v>
      </c>
      <c r="E13" s="81"/>
      <c r="F13" s="81"/>
      <c r="M13" s="202"/>
      <c r="V13" s="19"/>
    </row>
    <row r="14" spans="2:22" s="80" customFormat="1" ht="12.75" customHeight="1" x14ac:dyDescent="0.2">
      <c r="B14" s="17"/>
      <c r="D14" s="81"/>
      <c r="E14" s="81" t="s">
        <v>94</v>
      </c>
      <c r="F14" s="81"/>
      <c r="G14" s="27">
        <v>40</v>
      </c>
      <c r="I14" s="25">
        <v>0.25</v>
      </c>
      <c r="K14" s="25">
        <v>0.04</v>
      </c>
      <c r="M14" s="201">
        <f t="shared" ref="M14" si="0">I14+K14</f>
        <v>0.28999999999999998</v>
      </c>
      <c r="O14" s="25">
        <v>1</v>
      </c>
      <c r="Q14" s="25">
        <v>0.02</v>
      </c>
      <c r="V14" s="19"/>
    </row>
    <row r="15" spans="2:22" s="80" customFormat="1" ht="12.75" customHeight="1" x14ac:dyDescent="0.2">
      <c r="B15" s="17"/>
      <c r="D15" s="81"/>
      <c r="E15" s="81" t="s">
        <v>95</v>
      </c>
      <c r="F15" s="81"/>
      <c r="G15" s="27">
        <v>60</v>
      </c>
      <c r="I15" s="25">
        <v>0.4</v>
      </c>
      <c r="K15" s="25">
        <v>0.04</v>
      </c>
      <c r="M15" s="201">
        <f t="shared" ref="M15:M16" si="1">I15+K15</f>
        <v>0.44</v>
      </c>
      <c r="O15" s="25">
        <v>1</v>
      </c>
      <c r="Q15" s="25">
        <v>0.02</v>
      </c>
      <c r="V15" s="19"/>
    </row>
    <row r="16" spans="2:22" s="80" customFormat="1" ht="12.75" customHeight="1" x14ac:dyDescent="0.2">
      <c r="B16" s="17"/>
      <c r="D16" s="81"/>
      <c r="E16" s="81" t="s">
        <v>1</v>
      </c>
      <c r="F16" s="81"/>
      <c r="G16" s="27">
        <v>10</v>
      </c>
      <c r="I16" s="25">
        <v>0.5</v>
      </c>
      <c r="K16" s="25">
        <v>0.04</v>
      </c>
      <c r="M16" s="201">
        <f t="shared" si="1"/>
        <v>0.54</v>
      </c>
      <c r="O16" s="25">
        <v>1</v>
      </c>
      <c r="Q16" s="25">
        <v>0.02</v>
      </c>
      <c r="V16" s="19"/>
    </row>
    <row r="17" spans="1:22" s="80" customFormat="1" ht="12.75" customHeight="1" x14ac:dyDescent="0.2">
      <c r="B17" s="17"/>
      <c r="D17" s="81" t="s">
        <v>103</v>
      </c>
      <c r="E17" s="81"/>
      <c r="F17" s="81"/>
      <c r="M17" s="202"/>
      <c r="V17" s="19"/>
    </row>
    <row r="18" spans="1:22" s="80" customFormat="1" ht="12.75" customHeight="1" x14ac:dyDescent="0.2">
      <c r="B18" s="17"/>
      <c r="D18" s="81"/>
      <c r="E18" s="81" t="s">
        <v>94</v>
      </c>
      <c r="F18" s="81"/>
      <c r="G18" s="27">
        <v>30</v>
      </c>
      <c r="I18" s="25">
        <v>0.25</v>
      </c>
      <c r="K18" s="25">
        <v>0.04</v>
      </c>
      <c r="M18" s="201">
        <f t="shared" ref="M18:M20" si="2">I18+K18</f>
        <v>0.28999999999999998</v>
      </c>
      <c r="O18" s="25">
        <v>1</v>
      </c>
      <c r="Q18" s="25">
        <v>0.02</v>
      </c>
      <c r="V18" s="19"/>
    </row>
    <row r="19" spans="1:22" s="80" customFormat="1" ht="12.75" customHeight="1" x14ac:dyDescent="0.2">
      <c r="B19" s="17"/>
      <c r="D19" s="81"/>
      <c r="E19" s="81" t="s">
        <v>95</v>
      </c>
      <c r="F19" s="81"/>
      <c r="G19" s="27">
        <v>40</v>
      </c>
      <c r="I19" s="25">
        <v>0.4</v>
      </c>
      <c r="K19" s="25">
        <v>0.04</v>
      </c>
      <c r="M19" s="201">
        <f t="shared" si="2"/>
        <v>0.44</v>
      </c>
      <c r="O19" s="25">
        <v>1</v>
      </c>
      <c r="Q19" s="25">
        <v>0.02</v>
      </c>
      <c r="V19" s="19"/>
    </row>
    <row r="20" spans="1:22" s="80" customFormat="1" ht="12.75" customHeight="1" x14ac:dyDescent="0.2">
      <c r="B20" s="17"/>
      <c r="D20" s="81"/>
      <c r="E20" s="81" t="s">
        <v>1</v>
      </c>
      <c r="F20" s="81"/>
      <c r="G20" s="27">
        <v>10</v>
      </c>
      <c r="I20" s="25"/>
      <c r="K20" s="25">
        <v>0.04</v>
      </c>
      <c r="M20" s="201">
        <f t="shared" si="2"/>
        <v>0.04</v>
      </c>
      <c r="O20" s="25">
        <v>1</v>
      </c>
      <c r="Q20" s="25">
        <v>0.02</v>
      </c>
      <c r="V20" s="19"/>
    </row>
    <row r="21" spans="1:22" s="80" customFormat="1" ht="12.75" customHeight="1" x14ac:dyDescent="0.2">
      <c r="B21" s="17"/>
      <c r="D21" s="81" t="s">
        <v>102</v>
      </c>
      <c r="E21" s="81"/>
      <c r="F21" s="81"/>
      <c r="M21" s="202"/>
      <c r="V21" s="19"/>
    </row>
    <row r="22" spans="1:22" s="80" customFormat="1" ht="12.75" customHeight="1" x14ac:dyDescent="0.2">
      <c r="B22" s="17"/>
      <c r="D22" s="81"/>
      <c r="E22" s="81" t="s">
        <v>94</v>
      </c>
      <c r="F22" s="81"/>
      <c r="G22" s="27">
        <v>30</v>
      </c>
      <c r="I22" s="25">
        <v>0.25</v>
      </c>
      <c r="K22" s="25">
        <v>0.04</v>
      </c>
      <c r="M22" s="201">
        <f t="shared" ref="M22:M24" si="3">I22+K22</f>
        <v>0.28999999999999998</v>
      </c>
      <c r="O22" s="25">
        <v>0</v>
      </c>
      <c r="Q22" s="25">
        <v>0.3</v>
      </c>
      <c r="V22" s="19"/>
    </row>
    <row r="23" spans="1:22" s="80" customFormat="1" ht="12.75" customHeight="1" x14ac:dyDescent="0.2">
      <c r="B23" s="17"/>
      <c r="D23" s="81"/>
      <c r="E23" s="81" t="s">
        <v>95</v>
      </c>
      <c r="F23" s="81"/>
      <c r="G23" s="27">
        <v>40</v>
      </c>
      <c r="I23" s="25">
        <v>0.4</v>
      </c>
      <c r="K23" s="25">
        <v>0.04</v>
      </c>
      <c r="M23" s="201">
        <f t="shared" si="3"/>
        <v>0.44</v>
      </c>
      <c r="O23" s="25">
        <v>0</v>
      </c>
      <c r="Q23" s="25">
        <v>0.3</v>
      </c>
      <c r="V23" s="19"/>
    </row>
    <row r="24" spans="1:22" s="80" customFormat="1" ht="12.75" customHeight="1" x14ac:dyDescent="0.2">
      <c r="B24" s="17"/>
      <c r="D24" s="81"/>
      <c r="E24" s="81" t="s">
        <v>1</v>
      </c>
      <c r="F24" s="81"/>
      <c r="G24" s="27">
        <v>10</v>
      </c>
      <c r="I24" s="25">
        <v>0.5</v>
      </c>
      <c r="K24" s="25">
        <v>0.04</v>
      </c>
      <c r="M24" s="201">
        <f t="shared" si="3"/>
        <v>0.54</v>
      </c>
      <c r="O24" s="25">
        <v>0</v>
      </c>
      <c r="Q24" s="25">
        <v>0.3</v>
      </c>
      <c r="V24" s="19"/>
    </row>
    <row r="25" spans="1:22" s="80" customFormat="1" x14ac:dyDescent="0.2">
      <c r="B25" s="17"/>
      <c r="V25" s="19"/>
    </row>
    <row r="26" spans="1:22" s="80" customFormat="1" ht="15" x14ac:dyDescent="0.25">
      <c r="B26" s="17"/>
      <c r="C26" s="171" t="s">
        <v>146</v>
      </c>
      <c r="D26" s="82"/>
      <c r="E26" s="82"/>
      <c r="F26" s="82"/>
      <c r="G26" s="82"/>
      <c r="S26" s="175"/>
      <c r="U26" s="175"/>
      <c r="V26" s="19"/>
    </row>
    <row r="27" spans="1:22" s="80" customFormat="1" ht="14.25" x14ac:dyDescent="0.2">
      <c r="B27" s="17"/>
      <c r="C27" s="176"/>
      <c r="D27" s="82" t="s">
        <v>104</v>
      </c>
      <c r="E27" s="82"/>
      <c r="F27" s="82"/>
      <c r="G27" s="26">
        <v>0.03</v>
      </c>
      <c r="S27" s="175"/>
      <c r="U27" s="175"/>
      <c r="V27" s="19"/>
    </row>
    <row r="28" spans="1:22" s="80" customFormat="1" x14ac:dyDescent="0.2">
      <c r="B28" s="17"/>
      <c r="S28" s="175"/>
      <c r="U28" s="175"/>
      <c r="V28" s="19"/>
    </row>
    <row r="29" spans="1:22" s="80" customFormat="1" ht="15" x14ac:dyDescent="0.25">
      <c r="B29" s="17"/>
      <c r="C29" s="171" t="s">
        <v>193</v>
      </c>
      <c r="D29" s="82"/>
      <c r="E29" s="82"/>
      <c r="F29" s="82"/>
      <c r="G29" s="82"/>
      <c r="S29" s="175"/>
      <c r="U29" s="175"/>
      <c r="V29" s="19"/>
    </row>
    <row r="30" spans="1:22" s="80" customFormat="1" ht="14.25" x14ac:dyDescent="0.2">
      <c r="B30" s="17"/>
      <c r="C30" s="176"/>
      <c r="D30" s="82" t="s">
        <v>194</v>
      </c>
      <c r="E30" s="82"/>
      <c r="F30" s="82"/>
      <c r="G30" s="26">
        <v>0.12</v>
      </c>
      <c r="S30" s="175"/>
      <c r="U30" s="175"/>
      <c r="V30" s="19"/>
    </row>
    <row r="31" spans="1:22" s="80" customFormat="1" x14ac:dyDescent="0.2">
      <c r="B31" s="17"/>
      <c r="S31" s="175"/>
      <c r="U31" s="175"/>
      <c r="V31" s="19"/>
    </row>
    <row r="32" spans="1:22" s="80" customFormat="1" ht="18" customHeight="1" x14ac:dyDescent="0.25">
      <c r="A32" s="177"/>
      <c r="B32" s="17"/>
      <c r="C32" s="171" t="s">
        <v>44</v>
      </c>
      <c r="D32" s="82"/>
      <c r="E32" s="82"/>
      <c r="F32" s="82"/>
      <c r="V32" s="19"/>
    </row>
    <row r="33" spans="2:22" s="80" customFormat="1" ht="12.75" customHeight="1" x14ac:dyDescent="0.2">
      <c r="B33" s="17"/>
      <c r="C33" s="82"/>
      <c r="D33" s="82" t="s">
        <v>28</v>
      </c>
      <c r="E33" s="82"/>
      <c r="F33" s="82"/>
      <c r="G33" s="24">
        <v>75000</v>
      </c>
      <c r="V33" s="19"/>
    </row>
    <row r="34" spans="2:22" s="80" customFormat="1" ht="12.75" customHeight="1" x14ac:dyDescent="0.2">
      <c r="B34" s="17"/>
      <c r="C34" s="82"/>
      <c r="D34" s="178" t="s">
        <v>29</v>
      </c>
      <c r="E34" s="178"/>
      <c r="F34" s="178"/>
      <c r="G34" s="24">
        <v>40000</v>
      </c>
      <c r="V34" s="19"/>
    </row>
    <row r="35" spans="2:22" s="80" customFormat="1" ht="12.75" customHeight="1" x14ac:dyDescent="0.2">
      <c r="B35" s="17"/>
      <c r="C35" s="82"/>
      <c r="D35" s="82" t="s">
        <v>71</v>
      </c>
      <c r="E35" s="82"/>
      <c r="F35" s="82"/>
      <c r="G35" s="24">
        <v>50000</v>
      </c>
      <c r="V35" s="19"/>
    </row>
    <row r="36" spans="2:22" s="80" customFormat="1" ht="12.75" customHeight="1" x14ac:dyDescent="0.2">
      <c r="B36" s="17"/>
      <c r="C36" s="82"/>
      <c r="D36" s="178" t="s">
        <v>78</v>
      </c>
      <c r="E36" s="178"/>
      <c r="F36" s="178"/>
      <c r="G36" s="24">
        <v>10000</v>
      </c>
      <c r="I36" s="179" t="s">
        <v>32</v>
      </c>
      <c r="K36" s="179" t="s">
        <v>62</v>
      </c>
      <c r="V36" s="19"/>
    </row>
    <row r="37" spans="2:22" s="80" customFormat="1" ht="12.75" customHeight="1" x14ac:dyDescent="0.2">
      <c r="B37" s="17"/>
      <c r="C37" s="180" t="s">
        <v>42</v>
      </c>
      <c r="D37" s="180"/>
      <c r="E37" s="180"/>
      <c r="F37" s="180"/>
      <c r="G37" s="181">
        <f>SUM(G33:G36)</f>
        <v>175000</v>
      </c>
      <c r="I37" s="182">
        <f>G37/$G$4</f>
        <v>14583.333333333334</v>
      </c>
      <c r="K37" s="182">
        <f>G37/52</f>
        <v>3365.3846153846152</v>
      </c>
      <c r="V37" s="19"/>
    </row>
    <row r="38" spans="2:22" s="80" customFormat="1" ht="12.75" customHeight="1" x14ac:dyDescent="0.2">
      <c r="B38" s="17"/>
      <c r="S38" s="175"/>
      <c r="U38" s="175"/>
      <c r="V38" s="19"/>
    </row>
    <row r="39" spans="2:22" s="80" customFormat="1" ht="12.75" customHeight="1" x14ac:dyDescent="0.25">
      <c r="B39" s="17"/>
      <c r="C39" s="210" t="s">
        <v>74</v>
      </c>
      <c r="D39" s="211"/>
      <c r="E39" s="211"/>
      <c r="F39" s="211"/>
      <c r="V39" s="19"/>
    </row>
    <row r="40" spans="2:22" s="80" customFormat="1" ht="12.75" customHeight="1" x14ac:dyDescent="0.2">
      <c r="B40" s="17"/>
      <c r="D40" s="82" t="s">
        <v>75</v>
      </c>
      <c r="G40" s="24">
        <v>900</v>
      </c>
      <c r="I40" s="179" t="s">
        <v>32</v>
      </c>
      <c r="K40" s="179" t="s">
        <v>62</v>
      </c>
      <c r="V40" s="19"/>
    </row>
    <row r="41" spans="2:22" s="80" customFormat="1" ht="12.75" customHeight="1" x14ac:dyDescent="0.2">
      <c r="B41" s="17"/>
      <c r="D41" s="178" t="s">
        <v>91</v>
      </c>
      <c r="E41" s="178"/>
      <c r="F41" s="178"/>
      <c r="G41" s="25">
        <v>0.2</v>
      </c>
      <c r="I41" s="182">
        <f>G40*(G3*52)/G4</f>
        <v>27300</v>
      </c>
      <c r="K41" s="182">
        <f>G3*G40</f>
        <v>6300</v>
      </c>
      <c r="U41" s="175"/>
      <c r="V41" s="19"/>
    </row>
    <row r="42" spans="2:22" s="80" customFormat="1" ht="12.75" customHeight="1" x14ac:dyDescent="0.2">
      <c r="B42" s="17"/>
      <c r="S42" s="175"/>
      <c r="U42" s="175"/>
      <c r="V42" s="19"/>
    </row>
    <row r="43" spans="2:22" s="80" customFormat="1" ht="15" x14ac:dyDescent="0.2">
      <c r="B43" s="17"/>
      <c r="C43" s="183" t="s">
        <v>0</v>
      </c>
      <c r="D43" s="184"/>
      <c r="E43" s="184"/>
      <c r="F43" s="184"/>
      <c r="G43" s="185" t="s">
        <v>49</v>
      </c>
      <c r="S43" s="175"/>
      <c r="U43" s="175"/>
      <c r="V43" s="19"/>
    </row>
    <row r="44" spans="2:22" s="80" customFormat="1" ht="12.75" customHeight="1" x14ac:dyDescent="0.2">
      <c r="B44" s="17"/>
      <c r="C44" s="186"/>
      <c r="D44" s="82" t="s">
        <v>192</v>
      </c>
      <c r="E44" s="82"/>
      <c r="F44" s="82"/>
      <c r="G44" s="78">
        <v>7.6499999999999999E-2</v>
      </c>
      <c r="S44" s="175"/>
      <c r="U44" s="175"/>
      <c r="V44" s="19"/>
    </row>
    <row r="45" spans="2:22" s="80" customFormat="1" x14ac:dyDescent="0.2">
      <c r="B45" s="17"/>
      <c r="C45" s="186"/>
      <c r="D45" s="178" t="s">
        <v>137</v>
      </c>
      <c r="E45" s="178"/>
      <c r="F45" s="178"/>
      <c r="G45" s="74">
        <v>1000</v>
      </c>
      <c r="S45" s="175"/>
      <c r="U45" s="175"/>
      <c r="V45" s="19"/>
    </row>
    <row r="46" spans="2:22" s="80" customFormat="1" x14ac:dyDescent="0.2">
      <c r="B46" s="17"/>
      <c r="C46" s="186"/>
      <c r="D46" s="82" t="s">
        <v>138</v>
      </c>
      <c r="E46" s="82"/>
      <c r="F46" s="82"/>
      <c r="G46" s="74">
        <v>250</v>
      </c>
      <c r="S46" s="175"/>
      <c r="U46" s="175"/>
      <c r="V46" s="19"/>
    </row>
    <row r="47" spans="2:22" s="80" customFormat="1" x14ac:dyDescent="0.2">
      <c r="B47" s="17"/>
      <c r="C47" s="186"/>
      <c r="D47" s="178" t="s">
        <v>1</v>
      </c>
      <c r="E47" s="178"/>
      <c r="F47" s="178"/>
      <c r="G47" s="74">
        <v>250</v>
      </c>
      <c r="I47" s="179" t="s">
        <v>32</v>
      </c>
      <c r="K47" s="179" t="s">
        <v>62</v>
      </c>
      <c r="S47" s="175"/>
      <c r="U47" s="175"/>
      <c r="V47" s="19"/>
    </row>
    <row r="48" spans="2:22" s="80" customFormat="1" x14ac:dyDescent="0.2">
      <c r="B48" s="17"/>
      <c r="C48" s="187" t="s">
        <v>139</v>
      </c>
      <c r="D48" s="187"/>
      <c r="E48" s="187"/>
      <c r="F48" s="187"/>
      <c r="G48" s="188">
        <f>SUM(G45:G47)</f>
        <v>1500</v>
      </c>
      <c r="I48" s="182">
        <f>G48</f>
        <v>1500</v>
      </c>
      <c r="K48" s="182">
        <f>(I48*$G$4)/52</f>
        <v>346.15384615384613</v>
      </c>
      <c r="V48" s="19"/>
    </row>
    <row r="49" spans="2:22" s="80" customFormat="1" x14ac:dyDescent="0.2">
      <c r="B49" s="17"/>
      <c r="C49" s="187"/>
      <c r="D49" s="187"/>
      <c r="E49" s="187"/>
      <c r="F49" s="187"/>
      <c r="G49" s="188"/>
      <c r="S49" s="182"/>
      <c r="U49" s="182"/>
      <c r="V49" s="19"/>
    </row>
    <row r="50" spans="2:22" s="80" customFormat="1" ht="15" x14ac:dyDescent="0.2">
      <c r="B50" s="17"/>
      <c r="C50" s="189" t="s">
        <v>43</v>
      </c>
      <c r="D50" s="189"/>
      <c r="E50" s="189"/>
      <c r="F50" s="189"/>
      <c r="G50" s="185" t="s">
        <v>49</v>
      </c>
      <c r="S50" s="175"/>
      <c r="U50" s="175"/>
      <c r="V50" s="19"/>
    </row>
    <row r="51" spans="2:22" s="80" customFormat="1" x14ac:dyDescent="0.2">
      <c r="B51" s="17"/>
      <c r="C51" s="186">
        <v>1</v>
      </c>
      <c r="D51" s="184" t="s">
        <v>48</v>
      </c>
      <c r="E51" s="184"/>
      <c r="F51" s="184"/>
      <c r="G51" s="74">
        <v>300</v>
      </c>
      <c r="S51" s="175"/>
      <c r="U51" s="175"/>
      <c r="V51" s="19"/>
    </row>
    <row r="52" spans="2:22" s="80" customFormat="1" x14ac:dyDescent="0.2">
      <c r="B52" s="17"/>
      <c r="C52" s="190">
        <f>C51+1</f>
        <v>2</v>
      </c>
      <c r="D52" s="191" t="s">
        <v>4</v>
      </c>
      <c r="E52" s="191"/>
      <c r="F52" s="191"/>
      <c r="G52" s="74">
        <v>500</v>
      </c>
      <c r="S52" s="175"/>
      <c r="U52" s="175"/>
      <c r="V52" s="19"/>
    </row>
    <row r="53" spans="2:22" s="80" customFormat="1" x14ac:dyDescent="0.2">
      <c r="B53" s="17"/>
      <c r="C53" s="186">
        <f t="shared" ref="C53:C60" si="4">C52+1</f>
        <v>3</v>
      </c>
      <c r="D53" s="184" t="s">
        <v>3</v>
      </c>
      <c r="E53" s="184"/>
      <c r="F53" s="184"/>
      <c r="G53" s="74">
        <v>800</v>
      </c>
      <c r="S53" s="175"/>
      <c r="U53" s="175"/>
      <c r="V53" s="19"/>
    </row>
    <row r="54" spans="2:22" s="80" customFormat="1" x14ac:dyDescent="0.2">
      <c r="B54" s="17"/>
      <c r="C54" s="190">
        <f t="shared" si="4"/>
        <v>4</v>
      </c>
      <c r="D54" s="191" t="s">
        <v>46</v>
      </c>
      <c r="E54" s="191"/>
      <c r="F54" s="191"/>
      <c r="G54" s="74">
        <v>400</v>
      </c>
      <c r="S54" s="175"/>
      <c r="U54" s="175"/>
      <c r="V54" s="19"/>
    </row>
    <row r="55" spans="2:22" s="80" customFormat="1" x14ac:dyDescent="0.2">
      <c r="B55" s="17"/>
      <c r="C55" s="186">
        <f t="shared" si="4"/>
        <v>5</v>
      </c>
      <c r="D55" s="184" t="s">
        <v>45</v>
      </c>
      <c r="E55" s="184"/>
      <c r="F55" s="184"/>
      <c r="G55" s="74">
        <v>300</v>
      </c>
      <c r="S55" s="175"/>
      <c r="U55" s="175"/>
      <c r="V55" s="19"/>
    </row>
    <row r="56" spans="2:22" s="80" customFormat="1" x14ac:dyDescent="0.2">
      <c r="B56" s="17"/>
      <c r="C56" s="190">
        <f t="shared" si="4"/>
        <v>6</v>
      </c>
      <c r="D56" s="191" t="s">
        <v>70</v>
      </c>
      <c r="E56" s="191"/>
      <c r="F56" s="191"/>
      <c r="G56" s="74">
        <v>1200</v>
      </c>
      <c r="S56" s="175"/>
      <c r="U56" s="175"/>
      <c r="V56" s="19"/>
    </row>
    <row r="57" spans="2:22" s="80" customFormat="1" x14ac:dyDescent="0.2">
      <c r="B57" s="17"/>
      <c r="C57" s="186">
        <f t="shared" si="4"/>
        <v>7</v>
      </c>
      <c r="D57" s="184" t="s">
        <v>47</v>
      </c>
      <c r="E57" s="184"/>
      <c r="F57" s="184"/>
      <c r="G57" s="74">
        <v>100</v>
      </c>
      <c r="S57" s="175"/>
      <c r="U57" s="175"/>
      <c r="V57" s="19"/>
    </row>
    <row r="58" spans="2:22" s="80" customFormat="1" x14ac:dyDescent="0.2">
      <c r="B58" s="17"/>
      <c r="C58" s="190">
        <f t="shared" si="4"/>
        <v>8</v>
      </c>
      <c r="D58" s="191" t="s">
        <v>5</v>
      </c>
      <c r="E58" s="191"/>
      <c r="F58" s="191"/>
      <c r="G58" s="74">
        <v>300</v>
      </c>
      <c r="S58" s="175"/>
      <c r="U58" s="175"/>
      <c r="V58" s="19"/>
    </row>
    <row r="59" spans="2:22" s="80" customFormat="1" x14ac:dyDescent="0.2">
      <c r="B59" s="17"/>
      <c r="C59" s="186">
        <f t="shared" si="4"/>
        <v>9</v>
      </c>
      <c r="D59" s="184" t="s">
        <v>31</v>
      </c>
      <c r="E59" s="184"/>
      <c r="F59" s="184"/>
      <c r="G59" s="74">
        <v>300</v>
      </c>
      <c r="S59" s="175"/>
      <c r="U59" s="175"/>
      <c r="V59" s="19"/>
    </row>
    <row r="60" spans="2:22" s="80" customFormat="1" x14ac:dyDescent="0.2">
      <c r="B60" s="17"/>
      <c r="C60" s="190">
        <f t="shared" si="4"/>
        <v>10</v>
      </c>
      <c r="D60" s="191" t="s">
        <v>2</v>
      </c>
      <c r="E60" s="191"/>
      <c r="F60" s="191"/>
      <c r="G60" s="74">
        <v>600</v>
      </c>
      <c r="I60" s="179" t="s">
        <v>32</v>
      </c>
      <c r="K60" s="179" t="s">
        <v>62</v>
      </c>
      <c r="V60" s="19"/>
    </row>
    <row r="61" spans="2:22" s="80" customFormat="1" x14ac:dyDescent="0.2">
      <c r="B61" s="17"/>
      <c r="C61" s="180" t="s">
        <v>6</v>
      </c>
      <c r="D61" s="180"/>
      <c r="E61" s="180"/>
      <c r="F61" s="180"/>
      <c r="G61" s="192">
        <f>SUM(G51:G60)</f>
        <v>4800</v>
      </c>
      <c r="I61" s="182">
        <f>G61</f>
        <v>4800</v>
      </c>
      <c r="K61" s="182">
        <f>(I61*$G$4)/52</f>
        <v>1107.6923076923076</v>
      </c>
      <c r="V61" s="19"/>
    </row>
    <row r="62" spans="2:22" s="80" customFormat="1" x14ac:dyDescent="0.2">
      <c r="B62" s="17"/>
      <c r="C62" s="82"/>
      <c r="D62" s="82"/>
      <c r="E62" s="82"/>
      <c r="F62" s="82"/>
      <c r="G62" s="82"/>
      <c r="I62" s="175"/>
      <c r="K62" s="175"/>
      <c r="V62" s="19"/>
    </row>
    <row r="63" spans="2:22" s="80" customFormat="1" ht="15" x14ac:dyDescent="0.2">
      <c r="B63" s="17"/>
      <c r="C63" s="183" t="s">
        <v>9</v>
      </c>
      <c r="D63" s="184"/>
      <c r="E63" s="184"/>
      <c r="F63" s="184"/>
      <c r="G63" s="185" t="s">
        <v>49</v>
      </c>
      <c r="I63" s="175"/>
      <c r="K63" s="175"/>
      <c r="V63" s="19"/>
    </row>
    <row r="64" spans="2:22" s="80" customFormat="1" x14ac:dyDescent="0.2">
      <c r="B64" s="17"/>
      <c r="C64" s="186">
        <v>1</v>
      </c>
      <c r="D64" s="184" t="s">
        <v>92</v>
      </c>
      <c r="E64" s="184"/>
      <c r="F64" s="184"/>
      <c r="G64" s="74">
        <v>250</v>
      </c>
      <c r="I64" s="175"/>
      <c r="K64" s="175"/>
      <c r="V64" s="19"/>
    </row>
    <row r="65" spans="2:22" s="80" customFormat="1" x14ac:dyDescent="0.2">
      <c r="B65" s="17"/>
      <c r="C65" s="186">
        <v>2</v>
      </c>
      <c r="D65" s="191" t="s">
        <v>1</v>
      </c>
      <c r="E65" s="191"/>
      <c r="F65" s="191"/>
      <c r="G65" s="74">
        <v>0</v>
      </c>
      <c r="I65" s="179" t="s">
        <v>32</v>
      </c>
      <c r="K65" s="179" t="s">
        <v>62</v>
      </c>
      <c r="V65" s="19"/>
    </row>
    <row r="66" spans="2:22" s="80" customFormat="1" x14ac:dyDescent="0.2">
      <c r="B66" s="17"/>
      <c r="C66" s="180" t="s">
        <v>7</v>
      </c>
      <c r="D66" s="180"/>
      <c r="E66" s="180"/>
      <c r="F66" s="180"/>
      <c r="G66" s="193">
        <f>SUM(G64:G65)</f>
        <v>250</v>
      </c>
      <c r="I66" s="182">
        <f>G66</f>
        <v>250</v>
      </c>
      <c r="K66" s="182">
        <f>(I66*$G$4)/52</f>
        <v>57.692307692307693</v>
      </c>
      <c r="V66" s="19"/>
    </row>
    <row r="67" spans="2:22" s="80" customFormat="1" x14ac:dyDescent="0.2">
      <c r="B67" s="17"/>
      <c r="C67" s="82"/>
      <c r="D67" s="82"/>
      <c r="E67" s="82"/>
      <c r="F67" s="82"/>
      <c r="G67" s="82"/>
      <c r="K67" s="175"/>
      <c r="M67" s="175"/>
      <c r="V67" s="19"/>
    </row>
    <row r="68" spans="2:22" s="80" customFormat="1" ht="15" x14ac:dyDescent="0.2">
      <c r="B68" s="17"/>
      <c r="C68" s="183" t="s">
        <v>8</v>
      </c>
      <c r="D68" s="184"/>
      <c r="E68" s="184"/>
      <c r="F68" s="184"/>
      <c r="G68" s="185" t="s">
        <v>49</v>
      </c>
      <c r="K68" s="175"/>
      <c r="M68" s="175"/>
      <c r="V68" s="19"/>
    </row>
    <row r="69" spans="2:22" s="80" customFormat="1" x14ac:dyDescent="0.2">
      <c r="B69" s="17"/>
      <c r="C69" s="186">
        <v>1</v>
      </c>
      <c r="D69" s="184" t="s">
        <v>34</v>
      </c>
      <c r="E69" s="184"/>
      <c r="F69" s="184"/>
      <c r="G69" s="74">
        <v>1000</v>
      </c>
      <c r="K69" s="175"/>
      <c r="M69" s="175"/>
      <c r="V69" s="19"/>
    </row>
    <row r="70" spans="2:22" s="80" customFormat="1" x14ac:dyDescent="0.2">
      <c r="B70" s="17"/>
      <c r="C70" s="190">
        <f>C69+1</f>
        <v>2</v>
      </c>
      <c r="D70" s="191" t="s">
        <v>10</v>
      </c>
      <c r="E70" s="191"/>
      <c r="F70" s="191"/>
      <c r="G70" s="74">
        <v>250</v>
      </c>
      <c r="K70" s="175"/>
      <c r="M70" s="175"/>
      <c r="V70" s="19"/>
    </row>
    <row r="71" spans="2:22" s="80" customFormat="1" x14ac:dyDescent="0.2">
      <c r="B71" s="17"/>
      <c r="C71" s="186">
        <f>C70+1</f>
        <v>3</v>
      </c>
      <c r="D71" s="184" t="s">
        <v>30</v>
      </c>
      <c r="E71" s="184"/>
      <c r="F71" s="184"/>
      <c r="G71" s="74">
        <v>250</v>
      </c>
      <c r="I71" s="179" t="s">
        <v>32</v>
      </c>
      <c r="K71" s="179" t="s">
        <v>62</v>
      </c>
      <c r="M71" s="175"/>
      <c r="V71" s="19"/>
    </row>
    <row r="72" spans="2:22" s="80" customFormat="1" x14ac:dyDescent="0.2">
      <c r="B72" s="17"/>
      <c r="C72" s="190">
        <f>C71+1</f>
        <v>4</v>
      </c>
      <c r="D72" s="191" t="s">
        <v>50</v>
      </c>
      <c r="E72" s="191"/>
      <c r="F72" s="191"/>
      <c r="G72" s="74">
        <v>0</v>
      </c>
      <c r="I72" s="182">
        <f>G73</f>
        <v>1500</v>
      </c>
      <c r="K72" s="182">
        <f>(I72*$G$4)/52</f>
        <v>346.15384615384613</v>
      </c>
      <c r="V72" s="19"/>
    </row>
    <row r="73" spans="2:22" s="80" customFormat="1" x14ac:dyDescent="0.2">
      <c r="B73" s="17"/>
      <c r="C73" s="187" t="s">
        <v>11</v>
      </c>
      <c r="D73" s="187"/>
      <c r="E73" s="187"/>
      <c r="F73" s="187"/>
      <c r="G73" s="188">
        <f>SUM(G69:G72)</f>
        <v>1500</v>
      </c>
      <c r="V73" s="19"/>
    </row>
    <row r="74" spans="2:22" s="80" customFormat="1" x14ac:dyDescent="0.2">
      <c r="B74" s="17"/>
      <c r="C74" s="82"/>
      <c r="D74" s="82"/>
      <c r="E74" s="82"/>
      <c r="F74" s="82"/>
      <c r="G74" s="82"/>
      <c r="K74" s="175"/>
      <c r="M74" s="175"/>
      <c r="V74" s="19"/>
    </row>
    <row r="75" spans="2:22" s="80" customFormat="1" ht="15" x14ac:dyDescent="0.2">
      <c r="B75" s="17"/>
      <c r="C75" s="183" t="s">
        <v>12</v>
      </c>
      <c r="D75" s="184"/>
      <c r="E75" s="184"/>
      <c r="F75" s="184"/>
      <c r="G75" s="185" t="s">
        <v>49</v>
      </c>
      <c r="K75" s="175"/>
      <c r="M75" s="175"/>
      <c r="V75" s="19"/>
    </row>
    <row r="76" spans="2:22" s="80" customFormat="1" x14ac:dyDescent="0.2">
      <c r="B76" s="17"/>
      <c r="C76" s="186">
        <v>1</v>
      </c>
      <c r="D76" s="184" t="s">
        <v>51</v>
      </c>
      <c r="E76" s="184"/>
      <c r="F76" s="184"/>
      <c r="G76" s="74">
        <v>2500</v>
      </c>
      <c r="K76" s="175"/>
      <c r="M76" s="175"/>
      <c r="V76" s="19"/>
    </row>
    <row r="77" spans="2:22" s="80" customFormat="1" x14ac:dyDescent="0.2">
      <c r="B77" s="17"/>
      <c r="C77" s="190">
        <f>C76+1</f>
        <v>2</v>
      </c>
      <c r="D77" s="191" t="s">
        <v>15</v>
      </c>
      <c r="E77" s="191"/>
      <c r="F77" s="191"/>
      <c r="G77" s="74">
        <v>1500</v>
      </c>
      <c r="K77" s="175"/>
      <c r="M77" s="175"/>
      <c r="V77" s="19"/>
    </row>
    <row r="78" spans="2:22" s="80" customFormat="1" x14ac:dyDescent="0.2">
      <c r="B78" s="17"/>
      <c r="C78" s="186">
        <f>C77+1</f>
        <v>3</v>
      </c>
      <c r="D78" s="184" t="s">
        <v>13</v>
      </c>
      <c r="E78" s="184"/>
      <c r="F78" s="184"/>
      <c r="G78" s="74">
        <v>400</v>
      </c>
      <c r="K78" s="175"/>
      <c r="M78" s="175"/>
      <c r="V78" s="19"/>
    </row>
    <row r="79" spans="2:22" s="80" customFormat="1" x14ac:dyDescent="0.2">
      <c r="B79" s="17"/>
      <c r="C79" s="190">
        <f>C78+1</f>
        <v>4</v>
      </c>
      <c r="D79" s="191" t="s">
        <v>14</v>
      </c>
      <c r="E79" s="191"/>
      <c r="F79" s="191"/>
      <c r="G79" s="74">
        <v>400</v>
      </c>
      <c r="I79" s="179" t="s">
        <v>32</v>
      </c>
      <c r="K79" s="179" t="s">
        <v>62</v>
      </c>
      <c r="V79" s="19"/>
    </row>
    <row r="80" spans="2:22" s="80" customFormat="1" x14ac:dyDescent="0.2">
      <c r="B80" s="17"/>
      <c r="C80" s="187" t="s">
        <v>16</v>
      </c>
      <c r="D80" s="187"/>
      <c r="E80" s="187"/>
      <c r="F80" s="187"/>
      <c r="G80" s="188">
        <f>SUM(G76:G79)</f>
        <v>4800</v>
      </c>
      <c r="I80" s="182">
        <f>G80</f>
        <v>4800</v>
      </c>
      <c r="K80" s="182">
        <f>(I80*$G$4)/52</f>
        <v>1107.6923076923076</v>
      </c>
      <c r="V80" s="19"/>
    </row>
    <row r="81" spans="2:22" s="80" customFormat="1" x14ac:dyDescent="0.2">
      <c r="B81" s="17"/>
      <c r="C81" s="184"/>
      <c r="D81" s="184"/>
      <c r="E81" s="184"/>
      <c r="F81" s="184"/>
      <c r="G81" s="194"/>
      <c r="S81" s="175"/>
      <c r="U81" s="175"/>
      <c r="V81" s="19"/>
    </row>
    <row r="82" spans="2:22" s="80" customFormat="1" ht="15" x14ac:dyDescent="0.2">
      <c r="B82" s="17"/>
      <c r="C82" s="183" t="s">
        <v>17</v>
      </c>
      <c r="D82" s="184"/>
      <c r="E82" s="184"/>
      <c r="F82" s="184"/>
      <c r="G82" s="185" t="s">
        <v>49</v>
      </c>
      <c r="S82" s="175"/>
      <c r="U82" s="175"/>
      <c r="V82" s="19"/>
    </row>
    <row r="83" spans="2:22" s="80" customFormat="1" x14ac:dyDescent="0.2">
      <c r="B83" s="17"/>
      <c r="C83" s="186">
        <v>1</v>
      </c>
      <c r="D83" s="184" t="s">
        <v>40</v>
      </c>
      <c r="E83" s="184"/>
      <c r="F83" s="184"/>
      <c r="G83" s="74">
        <v>1200</v>
      </c>
      <c r="S83" s="175"/>
      <c r="U83" s="175"/>
      <c r="V83" s="19"/>
    </row>
    <row r="84" spans="2:22" s="80" customFormat="1" x14ac:dyDescent="0.2">
      <c r="B84" s="17"/>
      <c r="C84" s="190">
        <f>C83+1</f>
        <v>2</v>
      </c>
      <c r="D84" s="191" t="s">
        <v>33</v>
      </c>
      <c r="E84" s="191"/>
      <c r="F84" s="191"/>
      <c r="G84" s="74">
        <v>50</v>
      </c>
      <c r="S84" s="175"/>
      <c r="U84" s="175"/>
      <c r="V84" s="19"/>
    </row>
    <row r="85" spans="2:22" s="80" customFormat="1" x14ac:dyDescent="0.2">
      <c r="B85" s="17"/>
      <c r="C85" s="186">
        <f t="shared" ref="C85:C95" si="5">C84+1</f>
        <v>3</v>
      </c>
      <c r="D85" s="184" t="s">
        <v>23</v>
      </c>
      <c r="E85" s="184"/>
      <c r="F85" s="184"/>
      <c r="G85" s="74">
        <v>300</v>
      </c>
      <c r="S85" s="175"/>
      <c r="U85" s="175"/>
      <c r="V85" s="19"/>
    </row>
    <row r="86" spans="2:22" s="80" customFormat="1" x14ac:dyDescent="0.2">
      <c r="B86" s="17"/>
      <c r="C86" s="190">
        <f t="shared" si="5"/>
        <v>4</v>
      </c>
      <c r="D86" s="191" t="s">
        <v>21</v>
      </c>
      <c r="E86" s="191"/>
      <c r="F86" s="191"/>
      <c r="G86" s="74">
        <v>50</v>
      </c>
      <c r="S86" s="175"/>
      <c r="U86" s="175"/>
      <c r="V86" s="19"/>
    </row>
    <row r="87" spans="2:22" s="80" customFormat="1" x14ac:dyDescent="0.2">
      <c r="B87" s="17"/>
      <c r="C87" s="186">
        <f t="shared" si="5"/>
        <v>5</v>
      </c>
      <c r="D87" s="184" t="s">
        <v>20</v>
      </c>
      <c r="E87" s="184"/>
      <c r="F87" s="184"/>
      <c r="G87" s="74">
        <v>150</v>
      </c>
      <c r="S87" s="175"/>
      <c r="U87" s="175"/>
      <c r="V87" s="19"/>
    </row>
    <row r="88" spans="2:22" s="80" customFormat="1" x14ac:dyDescent="0.2">
      <c r="B88" s="17"/>
      <c r="C88" s="190">
        <f t="shared" si="5"/>
        <v>6</v>
      </c>
      <c r="D88" s="191" t="s">
        <v>5</v>
      </c>
      <c r="E88" s="191"/>
      <c r="F88" s="191"/>
      <c r="G88" s="74">
        <v>200</v>
      </c>
      <c r="S88" s="175"/>
      <c r="U88" s="175"/>
      <c r="V88" s="19"/>
    </row>
    <row r="89" spans="2:22" s="80" customFormat="1" x14ac:dyDescent="0.2">
      <c r="B89" s="17"/>
      <c r="C89" s="186">
        <f t="shared" si="5"/>
        <v>7</v>
      </c>
      <c r="D89" s="184" t="s">
        <v>18</v>
      </c>
      <c r="E89" s="184"/>
      <c r="F89" s="184"/>
      <c r="G89" s="74">
        <v>100</v>
      </c>
      <c r="S89" s="175"/>
      <c r="U89" s="175"/>
      <c r="V89" s="19"/>
    </row>
    <row r="90" spans="2:22" s="80" customFormat="1" x14ac:dyDescent="0.2">
      <c r="B90" s="17"/>
      <c r="C90" s="190">
        <f t="shared" si="5"/>
        <v>8</v>
      </c>
      <c r="D90" s="191" t="s">
        <v>41</v>
      </c>
      <c r="E90" s="191"/>
      <c r="F90" s="191"/>
      <c r="G90" s="74">
        <v>150</v>
      </c>
      <c r="S90" s="175"/>
      <c r="U90" s="175"/>
      <c r="V90" s="19"/>
    </row>
    <row r="91" spans="2:22" s="80" customFormat="1" x14ac:dyDescent="0.2">
      <c r="B91" s="17"/>
      <c r="C91" s="186">
        <f t="shared" si="5"/>
        <v>9</v>
      </c>
      <c r="D91" s="184" t="s">
        <v>19</v>
      </c>
      <c r="E91" s="184"/>
      <c r="F91" s="184"/>
      <c r="G91" s="74">
        <v>25</v>
      </c>
      <c r="S91" s="175"/>
      <c r="U91" s="175"/>
      <c r="V91" s="19"/>
    </row>
    <row r="92" spans="2:22" s="80" customFormat="1" x14ac:dyDescent="0.2">
      <c r="B92" s="17"/>
      <c r="C92" s="190">
        <f t="shared" si="5"/>
        <v>10</v>
      </c>
      <c r="D92" s="191" t="s">
        <v>22</v>
      </c>
      <c r="E92" s="191"/>
      <c r="F92" s="191"/>
      <c r="G92" s="74">
        <v>300</v>
      </c>
      <c r="S92" s="175"/>
      <c r="U92" s="175"/>
      <c r="V92" s="19"/>
    </row>
    <row r="93" spans="2:22" s="80" customFormat="1" x14ac:dyDescent="0.2">
      <c r="B93" s="17"/>
      <c r="C93" s="186">
        <f t="shared" si="5"/>
        <v>11</v>
      </c>
      <c r="D93" s="184" t="s">
        <v>52</v>
      </c>
      <c r="E93" s="184"/>
      <c r="F93" s="184"/>
      <c r="G93" s="74">
        <v>0</v>
      </c>
      <c r="S93" s="175"/>
      <c r="U93" s="175"/>
      <c r="V93" s="19"/>
    </row>
    <row r="94" spans="2:22" s="80" customFormat="1" x14ac:dyDescent="0.2">
      <c r="B94" s="17"/>
      <c r="C94" s="190">
        <f t="shared" si="5"/>
        <v>12</v>
      </c>
      <c r="D94" s="191" t="s">
        <v>93</v>
      </c>
      <c r="E94" s="191"/>
      <c r="F94" s="191"/>
      <c r="G94" s="74">
        <v>500</v>
      </c>
      <c r="S94" s="175"/>
      <c r="U94" s="175"/>
      <c r="V94" s="19"/>
    </row>
    <row r="95" spans="2:22" s="80" customFormat="1" x14ac:dyDescent="0.2">
      <c r="B95" s="17"/>
      <c r="C95" s="186">
        <f t="shared" si="5"/>
        <v>13</v>
      </c>
      <c r="D95" s="184" t="s">
        <v>61</v>
      </c>
      <c r="E95" s="184"/>
      <c r="F95" s="184"/>
      <c r="G95" s="74">
        <v>200</v>
      </c>
      <c r="I95" s="179" t="s">
        <v>32</v>
      </c>
      <c r="K95" s="179" t="s">
        <v>62</v>
      </c>
      <c r="V95" s="19"/>
    </row>
    <row r="96" spans="2:22" s="80" customFormat="1" x14ac:dyDescent="0.2">
      <c r="B96" s="17"/>
      <c r="C96" s="187" t="s">
        <v>24</v>
      </c>
      <c r="D96" s="187"/>
      <c r="E96" s="187"/>
      <c r="F96" s="187"/>
      <c r="G96" s="188">
        <f>SUM(G83:G95)</f>
        <v>3225</v>
      </c>
      <c r="I96" s="182">
        <f>G96</f>
        <v>3225</v>
      </c>
      <c r="K96" s="182">
        <f>(I96*$G$4)/52</f>
        <v>744.23076923076928</v>
      </c>
      <c r="V96" s="19"/>
    </row>
    <row r="97" spans="2:22" s="80" customFormat="1" x14ac:dyDescent="0.2">
      <c r="B97" s="17"/>
      <c r="C97" s="184"/>
      <c r="D97" s="184"/>
      <c r="E97" s="184"/>
      <c r="F97" s="184"/>
      <c r="G97" s="194"/>
      <c r="I97" s="175"/>
      <c r="K97" s="175"/>
      <c r="V97" s="19"/>
    </row>
    <row r="98" spans="2:22" s="80" customFormat="1" ht="15" x14ac:dyDescent="0.2">
      <c r="B98" s="17"/>
      <c r="C98" s="183" t="s">
        <v>55</v>
      </c>
      <c r="D98" s="184"/>
      <c r="E98" s="184"/>
      <c r="F98" s="184"/>
      <c r="G98" s="185" t="s">
        <v>49</v>
      </c>
      <c r="I98" s="175"/>
      <c r="K98" s="175"/>
      <c r="V98" s="19"/>
    </row>
    <row r="99" spans="2:22" s="80" customFormat="1" x14ac:dyDescent="0.2">
      <c r="B99" s="17"/>
      <c r="C99" s="186">
        <v>1</v>
      </c>
      <c r="D99" s="184" t="s">
        <v>56</v>
      </c>
      <c r="E99" s="184"/>
      <c r="F99" s="184"/>
      <c r="G99" s="74">
        <v>600</v>
      </c>
      <c r="I99" s="175"/>
      <c r="K99" s="175"/>
      <c r="V99" s="19"/>
    </row>
    <row r="100" spans="2:22" s="80" customFormat="1" x14ac:dyDescent="0.2">
      <c r="B100" s="17"/>
      <c r="C100" s="190">
        <f>C99+1</f>
        <v>2</v>
      </c>
      <c r="D100" s="191" t="s">
        <v>57</v>
      </c>
      <c r="E100" s="191"/>
      <c r="F100" s="191"/>
      <c r="G100" s="74">
        <v>600</v>
      </c>
      <c r="I100" s="175"/>
      <c r="K100" s="175"/>
      <c r="V100" s="19"/>
    </row>
    <row r="101" spans="2:22" s="80" customFormat="1" x14ac:dyDescent="0.2">
      <c r="B101" s="17"/>
      <c r="C101" s="186">
        <f>C100+1</f>
        <v>3</v>
      </c>
      <c r="D101" s="195" t="s">
        <v>58</v>
      </c>
      <c r="E101" s="184"/>
      <c r="F101" s="184"/>
      <c r="G101" s="74">
        <v>600</v>
      </c>
      <c r="I101" s="179" t="s">
        <v>32</v>
      </c>
      <c r="K101" s="179" t="s">
        <v>62</v>
      </c>
      <c r="V101" s="19"/>
    </row>
    <row r="102" spans="2:22" s="80" customFormat="1" x14ac:dyDescent="0.2">
      <c r="B102" s="17"/>
      <c r="C102" s="187" t="s">
        <v>25</v>
      </c>
      <c r="D102" s="187"/>
      <c r="E102" s="187"/>
      <c r="F102" s="187"/>
      <c r="G102" s="188">
        <f>SUM(G99:G101)</f>
        <v>1800</v>
      </c>
      <c r="I102" s="182">
        <f>G102</f>
        <v>1800</v>
      </c>
      <c r="K102" s="182">
        <f>(I102*$G$4)/52</f>
        <v>415.38461538461536</v>
      </c>
      <c r="V102" s="19"/>
    </row>
    <row r="103" spans="2:22" s="80" customFormat="1" ht="14.25" x14ac:dyDescent="0.2">
      <c r="B103" s="17"/>
      <c r="C103" s="176"/>
      <c r="D103" s="82"/>
      <c r="E103" s="82"/>
      <c r="F103" s="82"/>
      <c r="G103" s="196"/>
      <c r="S103" s="175"/>
      <c r="U103" s="175"/>
      <c r="V103" s="19"/>
    </row>
    <row r="104" spans="2:22" s="80" customFormat="1" ht="15" x14ac:dyDescent="0.25">
      <c r="B104" s="17"/>
      <c r="C104" s="171" t="s">
        <v>35</v>
      </c>
      <c r="D104" s="82"/>
      <c r="E104" s="82"/>
      <c r="F104" s="82"/>
      <c r="G104" s="185" t="s">
        <v>49</v>
      </c>
      <c r="S104" s="175"/>
      <c r="U104" s="175"/>
      <c r="V104" s="19"/>
    </row>
    <row r="105" spans="2:22" s="80" customFormat="1" x14ac:dyDescent="0.2">
      <c r="B105" s="17"/>
      <c r="C105" s="186">
        <v>1</v>
      </c>
      <c r="D105" s="184" t="s">
        <v>79</v>
      </c>
      <c r="E105" s="184"/>
      <c r="F105" s="184"/>
      <c r="G105" s="74">
        <v>10000</v>
      </c>
      <c r="S105" s="175"/>
      <c r="U105" s="175"/>
      <c r="V105" s="19"/>
    </row>
    <row r="106" spans="2:22" s="80" customFormat="1" x14ac:dyDescent="0.2">
      <c r="B106" s="17"/>
      <c r="C106" s="190">
        <v>2</v>
      </c>
      <c r="D106" s="191" t="s">
        <v>53</v>
      </c>
      <c r="E106" s="191"/>
      <c r="F106" s="191"/>
      <c r="G106" s="74">
        <v>1000</v>
      </c>
      <c r="S106" s="175"/>
      <c r="U106" s="175"/>
      <c r="V106" s="19"/>
    </row>
    <row r="107" spans="2:22" s="80" customFormat="1" x14ac:dyDescent="0.2">
      <c r="B107" s="17"/>
      <c r="C107" s="186">
        <v>3</v>
      </c>
      <c r="D107" s="184" t="s">
        <v>36</v>
      </c>
      <c r="E107" s="184"/>
      <c r="F107" s="184"/>
      <c r="G107" s="74">
        <v>0</v>
      </c>
      <c r="S107" s="175"/>
      <c r="U107" s="175"/>
      <c r="V107" s="19"/>
    </row>
    <row r="108" spans="2:22" s="80" customFormat="1" x14ac:dyDescent="0.2">
      <c r="B108" s="17"/>
      <c r="C108" s="190">
        <v>4</v>
      </c>
      <c r="D108" s="191" t="s">
        <v>54</v>
      </c>
      <c r="E108" s="191"/>
      <c r="F108" s="191"/>
      <c r="G108" s="74">
        <v>1000</v>
      </c>
      <c r="S108" s="175"/>
      <c r="U108" s="175"/>
      <c r="V108" s="19"/>
    </row>
    <row r="109" spans="2:22" s="80" customFormat="1" x14ac:dyDescent="0.2">
      <c r="B109" s="17"/>
      <c r="C109" s="186">
        <v>5</v>
      </c>
      <c r="D109" s="184" t="s">
        <v>37</v>
      </c>
      <c r="E109" s="184"/>
      <c r="F109" s="184"/>
      <c r="G109" s="74">
        <v>200</v>
      </c>
      <c r="S109" s="175"/>
      <c r="U109" s="175"/>
      <c r="V109" s="19"/>
    </row>
    <row r="110" spans="2:22" s="80" customFormat="1" x14ac:dyDescent="0.2">
      <c r="B110" s="17"/>
      <c r="C110" s="190">
        <v>6</v>
      </c>
      <c r="D110" s="191" t="s">
        <v>38</v>
      </c>
      <c r="E110" s="191"/>
      <c r="F110" s="191"/>
      <c r="G110" s="74">
        <v>900</v>
      </c>
      <c r="I110" s="179" t="s">
        <v>32</v>
      </c>
      <c r="K110" s="179" t="s">
        <v>62</v>
      </c>
      <c r="S110" s="175"/>
      <c r="U110" s="175"/>
      <c r="V110" s="19"/>
    </row>
    <row r="111" spans="2:22" s="80" customFormat="1" x14ac:dyDescent="0.2">
      <c r="B111" s="17"/>
      <c r="C111" s="186">
        <v>7</v>
      </c>
      <c r="D111" s="184" t="s">
        <v>39</v>
      </c>
      <c r="E111" s="184"/>
      <c r="F111" s="184"/>
      <c r="G111" s="74">
        <v>300</v>
      </c>
      <c r="I111" s="182">
        <f>G112</f>
        <v>13400</v>
      </c>
      <c r="K111" s="182">
        <f>(I111*$G$4)/52</f>
        <v>3092.3076923076924</v>
      </c>
      <c r="V111" s="19"/>
    </row>
    <row r="112" spans="2:22" s="80" customFormat="1" x14ac:dyDescent="0.2">
      <c r="B112" s="17"/>
      <c r="C112" s="83" t="s">
        <v>27</v>
      </c>
      <c r="D112" s="83"/>
      <c r="E112" s="83"/>
      <c r="F112" s="83"/>
      <c r="G112" s="197">
        <f>SUM(G105:G111)</f>
        <v>13400</v>
      </c>
      <c r="I112" s="175"/>
      <c r="K112" s="175"/>
      <c r="V112" s="19"/>
    </row>
    <row r="113" spans="2:22" s="80" customFormat="1" x14ac:dyDescent="0.2">
      <c r="B113" s="17"/>
      <c r="C113" s="82"/>
      <c r="D113" s="82"/>
      <c r="E113" s="82"/>
      <c r="F113" s="82"/>
      <c r="I113" s="175"/>
      <c r="K113" s="175"/>
      <c r="V113" s="19"/>
    </row>
    <row r="114" spans="2:22" s="80" customFormat="1" ht="15" x14ac:dyDescent="0.2">
      <c r="B114" s="17"/>
      <c r="C114" s="183" t="s">
        <v>164</v>
      </c>
      <c r="D114" s="184"/>
      <c r="E114" s="184"/>
      <c r="F114" s="184"/>
      <c r="G114" s="185" t="s">
        <v>49</v>
      </c>
      <c r="I114" s="175"/>
      <c r="K114" s="175"/>
      <c r="V114" s="19"/>
    </row>
    <row r="115" spans="2:22" s="80" customFormat="1" x14ac:dyDescent="0.2">
      <c r="B115" s="17"/>
      <c r="C115" s="186">
        <v>1</v>
      </c>
      <c r="D115" s="184" t="s">
        <v>152</v>
      </c>
      <c r="E115" s="184"/>
      <c r="F115" s="184"/>
      <c r="G115" s="74">
        <v>0</v>
      </c>
      <c r="I115" s="175"/>
      <c r="K115" s="175"/>
      <c r="V115" s="19"/>
    </row>
    <row r="116" spans="2:22" s="80" customFormat="1" x14ac:dyDescent="0.2">
      <c r="B116" s="17"/>
      <c r="C116" s="190">
        <v>2</v>
      </c>
      <c r="D116" s="191" t="s">
        <v>153</v>
      </c>
      <c r="E116" s="191"/>
      <c r="F116" s="191"/>
      <c r="G116" s="74">
        <v>300</v>
      </c>
      <c r="I116" s="179" t="s">
        <v>32</v>
      </c>
      <c r="K116" s="179" t="s">
        <v>62</v>
      </c>
      <c r="V116" s="19"/>
    </row>
    <row r="117" spans="2:22" s="80" customFormat="1" x14ac:dyDescent="0.2">
      <c r="B117" s="17"/>
      <c r="C117" s="186">
        <v>3</v>
      </c>
      <c r="D117" s="184" t="s">
        <v>154</v>
      </c>
      <c r="E117" s="184"/>
      <c r="F117" s="184"/>
      <c r="G117" s="74">
        <v>200</v>
      </c>
      <c r="I117" s="179" t="s">
        <v>32</v>
      </c>
      <c r="K117" s="179" t="s">
        <v>62</v>
      </c>
      <c r="V117" s="19"/>
    </row>
    <row r="118" spans="2:22" s="80" customFormat="1" x14ac:dyDescent="0.2">
      <c r="B118" s="17"/>
      <c r="C118" s="190">
        <v>3</v>
      </c>
      <c r="D118" s="191" t="s">
        <v>155</v>
      </c>
      <c r="E118" s="191"/>
      <c r="F118" s="191"/>
      <c r="G118" s="74">
        <v>100</v>
      </c>
      <c r="I118" s="182">
        <f>G119</f>
        <v>600</v>
      </c>
      <c r="K118" s="182">
        <f>(I118*$G$4)/52</f>
        <v>138.46153846153845</v>
      </c>
      <c r="V118" s="19"/>
    </row>
    <row r="119" spans="2:22" s="80" customFormat="1" x14ac:dyDescent="0.2">
      <c r="B119" s="17"/>
      <c r="C119" s="187" t="s">
        <v>156</v>
      </c>
      <c r="D119" s="184"/>
      <c r="E119" s="184"/>
      <c r="F119" s="184"/>
      <c r="G119" s="197">
        <f>SUM(G115:G118)</f>
        <v>600</v>
      </c>
      <c r="I119" s="175"/>
      <c r="K119" s="175"/>
      <c r="V119" s="19"/>
    </row>
    <row r="120" spans="2:22" s="80" customFormat="1" x14ac:dyDescent="0.2">
      <c r="B120" s="17"/>
      <c r="C120" s="187"/>
      <c r="D120" s="187"/>
      <c r="E120" s="187"/>
      <c r="F120" s="187"/>
      <c r="G120" s="188"/>
      <c r="I120" s="175"/>
      <c r="K120" s="175"/>
      <c r="V120" s="19"/>
    </row>
    <row r="121" spans="2:22" s="80" customFormat="1" ht="15" x14ac:dyDescent="0.2">
      <c r="B121" s="17"/>
      <c r="C121" s="183" t="s">
        <v>158</v>
      </c>
      <c r="D121" s="184"/>
      <c r="E121" s="184"/>
      <c r="F121" s="184"/>
      <c r="G121" s="185" t="s">
        <v>49</v>
      </c>
      <c r="I121" s="175"/>
      <c r="K121" s="175"/>
      <c r="V121" s="19"/>
    </row>
    <row r="122" spans="2:22" s="80" customFormat="1" x14ac:dyDescent="0.2">
      <c r="B122" s="17"/>
      <c r="C122" s="186">
        <v>1</v>
      </c>
      <c r="D122" s="184" t="s">
        <v>190</v>
      </c>
      <c r="E122" s="184"/>
      <c r="F122" s="184"/>
      <c r="G122" s="74">
        <v>100</v>
      </c>
      <c r="I122" s="175"/>
      <c r="K122" s="175"/>
      <c r="V122" s="19"/>
    </row>
    <row r="123" spans="2:22" s="80" customFormat="1" x14ac:dyDescent="0.2">
      <c r="B123" s="17"/>
      <c r="C123" s="190">
        <v>2</v>
      </c>
      <c r="D123" s="191" t="s">
        <v>159</v>
      </c>
      <c r="E123" s="191"/>
      <c r="F123" s="191"/>
      <c r="G123" s="74">
        <v>0</v>
      </c>
      <c r="I123" s="175"/>
      <c r="K123" s="175"/>
      <c r="V123" s="19"/>
    </row>
    <row r="124" spans="2:22" s="80" customFormat="1" x14ac:dyDescent="0.2">
      <c r="B124" s="17"/>
      <c r="C124" s="186">
        <v>3</v>
      </c>
      <c r="D124" s="184" t="s">
        <v>160</v>
      </c>
      <c r="E124" s="184"/>
      <c r="F124" s="184"/>
      <c r="G124" s="74">
        <v>200</v>
      </c>
      <c r="I124" s="179" t="s">
        <v>32</v>
      </c>
      <c r="K124" s="179" t="s">
        <v>62</v>
      </c>
      <c r="V124" s="19"/>
    </row>
    <row r="125" spans="2:22" s="80" customFormat="1" x14ac:dyDescent="0.2">
      <c r="B125" s="17"/>
      <c r="C125" s="190">
        <v>4</v>
      </c>
      <c r="D125" s="191" t="s">
        <v>59</v>
      </c>
      <c r="E125" s="191"/>
      <c r="F125" s="191"/>
      <c r="G125" s="74">
        <v>50</v>
      </c>
      <c r="I125" s="182">
        <f>G126</f>
        <v>350</v>
      </c>
      <c r="K125" s="182">
        <f>(I125*$G$4)/52</f>
        <v>80.769230769230774</v>
      </c>
      <c r="V125" s="19"/>
    </row>
    <row r="126" spans="2:22" s="80" customFormat="1" x14ac:dyDescent="0.2">
      <c r="B126" s="17"/>
      <c r="C126" s="180" t="s">
        <v>85</v>
      </c>
      <c r="D126" s="180"/>
      <c r="E126" s="180"/>
      <c r="F126" s="180"/>
      <c r="G126" s="197">
        <f>SUM(G122:G125)</f>
        <v>350</v>
      </c>
      <c r="I126" s="182"/>
      <c r="K126" s="182"/>
      <c r="V126" s="19"/>
    </row>
    <row r="127" spans="2:22" s="80" customFormat="1" x14ac:dyDescent="0.2">
      <c r="B127" s="17"/>
      <c r="C127" s="180"/>
      <c r="D127" s="180"/>
      <c r="E127" s="180"/>
      <c r="F127" s="180"/>
      <c r="G127" s="197"/>
      <c r="I127" s="175"/>
      <c r="K127" s="175"/>
      <c r="V127" s="19"/>
    </row>
    <row r="128" spans="2:22" s="80" customFormat="1" ht="15" x14ac:dyDescent="0.2">
      <c r="B128" s="17"/>
      <c r="C128" s="183" t="s">
        <v>83</v>
      </c>
      <c r="D128" s="184"/>
      <c r="E128" s="184"/>
      <c r="F128" s="184"/>
      <c r="G128" s="185" t="s">
        <v>49</v>
      </c>
      <c r="I128" s="175"/>
      <c r="K128" s="175"/>
      <c r="V128" s="19"/>
    </row>
    <row r="129" spans="2:22" s="80" customFormat="1" x14ac:dyDescent="0.2">
      <c r="B129" s="17"/>
      <c r="C129" s="186">
        <v>1</v>
      </c>
      <c r="D129" s="184" t="s">
        <v>80</v>
      </c>
      <c r="E129" s="184"/>
      <c r="F129" s="184"/>
      <c r="G129" s="74">
        <v>500</v>
      </c>
      <c r="I129" s="175"/>
      <c r="K129" s="175"/>
      <c r="V129" s="19"/>
    </row>
    <row r="130" spans="2:22" s="80" customFormat="1" x14ac:dyDescent="0.2">
      <c r="B130" s="17"/>
      <c r="C130" s="190">
        <v>2</v>
      </c>
      <c r="D130" s="191" t="s">
        <v>81</v>
      </c>
      <c r="E130" s="191"/>
      <c r="F130" s="191"/>
      <c r="G130" s="74">
        <v>200</v>
      </c>
      <c r="I130" s="179" t="s">
        <v>32</v>
      </c>
      <c r="K130" s="179" t="s">
        <v>62</v>
      </c>
      <c r="V130" s="19"/>
    </row>
    <row r="131" spans="2:22" s="80" customFormat="1" x14ac:dyDescent="0.2">
      <c r="B131" s="17"/>
      <c r="C131" s="186">
        <v>3</v>
      </c>
      <c r="D131" s="184" t="s">
        <v>82</v>
      </c>
      <c r="E131" s="184"/>
      <c r="F131" s="184"/>
      <c r="G131" s="74">
        <v>0</v>
      </c>
      <c r="I131" s="182">
        <f>G132</f>
        <v>700</v>
      </c>
      <c r="K131" s="182">
        <f>(I131*$G$4)/52</f>
        <v>161.53846153846155</v>
      </c>
      <c r="V131" s="19"/>
    </row>
    <row r="132" spans="2:22" s="80" customFormat="1" x14ac:dyDescent="0.2">
      <c r="B132" s="17"/>
      <c r="C132" s="187" t="s">
        <v>84</v>
      </c>
      <c r="D132" s="184"/>
      <c r="E132" s="184"/>
      <c r="F132" s="184"/>
      <c r="G132" s="197">
        <f>SUM(G129:G131)</f>
        <v>700</v>
      </c>
      <c r="I132" s="175"/>
      <c r="K132" s="175"/>
      <c r="V132" s="19"/>
    </row>
    <row r="133" spans="2:22" s="80" customFormat="1" x14ac:dyDescent="0.2">
      <c r="B133" s="17"/>
      <c r="C133" s="187"/>
      <c r="D133" s="187"/>
      <c r="E133" s="187"/>
      <c r="F133" s="187"/>
      <c r="G133" s="188"/>
      <c r="V133" s="19"/>
    </row>
    <row r="134" spans="2:22" s="80" customFormat="1" ht="15" x14ac:dyDescent="0.25">
      <c r="B134" s="20"/>
      <c r="C134" s="21"/>
      <c r="D134" s="198"/>
      <c r="E134" s="198"/>
      <c r="F134" s="198"/>
      <c r="G134" s="198"/>
      <c r="H134" s="22"/>
      <c r="I134" s="22"/>
      <c r="J134" s="22"/>
      <c r="K134" s="22"/>
      <c r="L134" s="22"/>
      <c r="M134" s="22"/>
      <c r="N134" s="22"/>
      <c r="O134" s="22"/>
      <c r="P134" s="22"/>
      <c r="Q134" s="22"/>
      <c r="R134" s="22"/>
      <c r="S134" s="22"/>
      <c r="T134" s="22"/>
      <c r="U134" s="22"/>
      <c r="V134" s="23"/>
    </row>
    <row r="135" spans="2:22" s="80" customFormat="1" x14ac:dyDescent="0.2"/>
    <row r="136" spans="2:22" s="80" customFormat="1" x14ac:dyDescent="0.2"/>
    <row r="137" spans="2:22" s="80" customFormat="1" x14ac:dyDescent="0.2"/>
    <row r="138" spans="2:22" s="80" customFormat="1" x14ac:dyDescent="0.2"/>
    <row r="139" spans="2:22" s="80" customFormat="1" x14ac:dyDescent="0.2"/>
    <row r="140" spans="2:22" s="80" customFormat="1" x14ac:dyDescent="0.2"/>
    <row r="141" spans="2:22" s="80" customFormat="1" x14ac:dyDescent="0.2"/>
    <row r="142" spans="2:22" s="80" customFormat="1" x14ac:dyDescent="0.2"/>
    <row r="143" spans="2:22" s="80" customFormat="1" x14ac:dyDescent="0.2"/>
    <row r="144" spans="2:22" s="80" customFormat="1" x14ac:dyDescent="0.2"/>
    <row r="145" spans="2:22" s="80" customFormat="1" x14ac:dyDescent="0.2"/>
    <row r="146" spans="2:22" s="80" customFormat="1" x14ac:dyDescent="0.2"/>
    <row r="147" spans="2:22" s="80" customFormat="1" x14ac:dyDescent="0.2"/>
    <row r="148" spans="2:22" s="80" customFormat="1" x14ac:dyDescent="0.2"/>
    <row r="149" spans="2:22" s="80" customFormat="1" x14ac:dyDescent="0.2"/>
    <row r="150" spans="2:22" s="80" customFormat="1" x14ac:dyDescent="0.2"/>
    <row r="151" spans="2:22" s="80" customFormat="1" x14ac:dyDescent="0.2"/>
    <row r="152" spans="2:22" s="80" customFormat="1" x14ac:dyDescent="0.2"/>
    <row r="153" spans="2:22" s="80" customFormat="1" x14ac:dyDescent="0.2"/>
    <row r="154" spans="2:22" s="80" customFormat="1" x14ac:dyDescent="0.2"/>
    <row r="155" spans="2:22" s="80" customFormat="1" x14ac:dyDescent="0.2">
      <c r="B155" s="17"/>
      <c r="V155" s="19"/>
    </row>
    <row r="156" spans="2:22" s="80" customFormat="1" x14ac:dyDescent="0.2">
      <c r="B156" s="17"/>
      <c r="V156" s="19"/>
    </row>
    <row r="157" spans="2:22" s="80" customFormat="1" x14ac:dyDescent="0.2"/>
    <row r="158" spans="2:22" s="80" customFormat="1" x14ac:dyDescent="0.2"/>
    <row r="159" spans="2:22" s="80" customFormat="1" x14ac:dyDescent="0.2"/>
    <row r="160" spans="2:22" s="80" customFormat="1" x14ac:dyDescent="0.2"/>
    <row r="161" s="80" customFormat="1" x14ac:dyDescent="0.2"/>
    <row r="162" s="80" customFormat="1" x14ac:dyDescent="0.2"/>
    <row r="163" s="80" customFormat="1" x14ac:dyDescent="0.2"/>
    <row r="164" s="80" customFormat="1" x14ac:dyDescent="0.2"/>
    <row r="165" s="80" customFormat="1" x14ac:dyDescent="0.2"/>
    <row r="166" s="80" customFormat="1" x14ac:dyDescent="0.2"/>
    <row r="167" s="80" customFormat="1" x14ac:dyDescent="0.2"/>
    <row r="168" s="80" customFormat="1" x14ac:dyDescent="0.2"/>
    <row r="169" s="80" customFormat="1" x14ac:dyDescent="0.2"/>
    <row r="170" s="80" customFormat="1" x14ac:dyDescent="0.2"/>
    <row r="171" s="80" customFormat="1" x14ac:dyDescent="0.2"/>
    <row r="172" s="80" customFormat="1" x14ac:dyDescent="0.2"/>
    <row r="173" s="80" customFormat="1" x14ac:dyDescent="0.2"/>
    <row r="174" s="80" customFormat="1" x14ac:dyDescent="0.2"/>
    <row r="175" s="80" customFormat="1" x14ac:dyDescent="0.2"/>
    <row r="176" s="80" customFormat="1" x14ac:dyDescent="0.2"/>
    <row r="177" s="80" customFormat="1" x14ac:dyDescent="0.2"/>
    <row r="178" s="80" customFormat="1" x14ac:dyDescent="0.2"/>
    <row r="179" s="80" customFormat="1" x14ac:dyDescent="0.2"/>
    <row r="180" s="80" customFormat="1" x14ac:dyDescent="0.2"/>
    <row r="181" s="80" customFormat="1" x14ac:dyDescent="0.2"/>
    <row r="182" s="80" customFormat="1" x14ac:dyDescent="0.2"/>
    <row r="183" s="80" customFormat="1" x14ac:dyDescent="0.2"/>
    <row r="184" s="80" customFormat="1" x14ac:dyDescent="0.2"/>
    <row r="185" s="80" customFormat="1" x14ac:dyDescent="0.2"/>
    <row r="186" s="80" customFormat="1" x14ac:dyDescent="0.2"/>
    <row r="187" s="80" customFormat="1" x14ac:dyDescent="0.2"/>
    <row r="188" s="80" customFormat="1" x14ac:dyDescent="0.2"/>
    <row r="189" s="80" customFormat="1" x14ac:dyDescent="0.2"/>
    <row r="190" s="80" customFormat="1" x14ac:dyDescent="0.2"/>
    <row r="191" s="80" customFormat="1" x14ac:dyDescent="0.2"/>
    <row r="192" s="80" customFormat="1" x14ac:dyDescent="0.2"/>
    <row r="193" s="80" customFormat="1" x14ac:dyDescent="0.2"/>
    <row r="194" s="80" customFormat="1" x14ac:dyDescent="0.2"/>
    <row r="195" s="80" customFormat="1" x14ac:dyDescent="0.2"/>
    <row r="196" s="80" customFormat="1" x14ac:dyDescent="0.2"/>
    <row r="197" s="80" customFormat="1" x14ac:dyDescent="0.2"/>
    <row r="198" s="80" customFormat="1" x14ac:dyDescent="0.2"/>
    <row r="199" s="80" customFormat="1" x14ac:dyDescent="0.2"/>
    <row r="200" s="80" customFormat="1" x14ac:dyDescent="0.2"/>
    <row r="201" s="80" customFormat="1" x14ac:dyDescent="0.2"/>
    <row r="202" s="80" customFormat="1" x14ac:dyDescent="0.2"/>
    <row r="203" s="80" customFormat="1" x14ac:dyDescent="0.2"/>
    <row r="204" s="80" customFormat="1" x14ac:dyDescent="0.2"/>
    <row r="205" s="80" customFormat="1" x14ac:dyDescent="0.2"/>
    <row r="206" s="80" customFormat="1" x14ac:dyDescent="0.2"/>
    <row r="207" s="80" customFormat="1" x14ac:dyDescent="0.2"/>
    <row r="208" s="80" customFormat="1" x14ac:dyDescent="0.2"/>
    <row r="209" s="80" customFormat="1" x14ac:dyDescent="0.2"/>
    <row r="210" s="80" customFormat="1" x14ac:dyDescent="0.2"/>
    <row r="211" s="80" customFormat="1" x14ac:dyDescent="0.2"/>
    <row r="212" s="80" customFormat="1" x14ac:dyDescent="0.2"/>
    <row r="213" s="80" customFormat="1" x14ac:dyDescent="0.2"/>
    <row r="214" s="80" customFormat="1" x14ac:dyDescent="0.2"/>
    <row r="215" s="80" customFormat="1" x14ac:dyDescent="0.2"/>
    <row r="216" s="80" customFormat="1" x14ac:dyDescent="0.2"/>
    <row r="217" s="80" customFormat="1" x14ac:dyDescent="0.2"/>
    <row r="218" s="80" customFormat="1" x14ac:dyDescent="0.2"/>
    <row r="219" s="80" customFormat="1" x14ac:dyDescent="0.2"/>
    <row r="220" s="80" customFormat="1" x14ac:dyDescent="0.2"/>
    <row r="221" s="80" customFormat="1" x14ac:dyDescent="0.2"/>
    <row r="222" s="80" customFormat="1" x14ac:dyDescent="0.2"/>
    <row r="223" s="80" customFormat="1" x14ac:dyDescent="0.2"/>
    <row r="224" s="80" customFormat="1" x14ac:dyDescent="0.2"/>
    <row r="225" s="80" customFormat="1" x14ac:dyDescent="0.2"/>
    <row r="226" s="80" customFormat="1" x14ac:dyDescent="0.2"/>
    <row r="227" s="80" customFormat="1" x14ac:dyDescent="0.2"/>
    <row r="228" s="80" customFormat="1" x14ac:dyDescent="0.2"/>
    <row r="229" s="80" customFormat="1" x14ac:dyDescent="0.2"/>
    <row r="230" s="80" customFormat="1" x14ac:dyDescent="0.2"/>
    <row r="231" s="80" customFormat="1" x14ac:dyDescent="0.2"/>
    <row r="232" s="80" customFormat="1" x14ac:dyDescent="0.2"/>
    <row r="233" s="80" customFormat="1" x14ac:dyDescent="0.2"/>
    <row r="234" s="80" customFormat="1" x14ac:dyDescent="0.2"/>
    <row r="235" s="80" customFormat="1" x14ac:dyDescent="0.2"/>
    <row r="236" s="80" customFormat="1" x14ac:dyDescent="0.2"/>
    <row r="237" s="80" customFormat="1" x14ac:dyDescent="0.2"/>
    <row r="238" s="80" customFormat="1" x14ac:dyDescent="0.2"/>
    <row r="239" s="80" customFormat="1" x14ac:dyDescent="0.2"/>
    <row r="240" s="80" customFormat="1" x14ac:dyDescent="0.2"/>
    <row r="241" s="80" customFormat="1" x14ac:dyDescent="0.2"/>
    <row r="242" s="80" customFormat="1" x14ac:dyDescent="0.2"/>
    <row r="243" s="80" customFormat="1" x14ac:dyDescent="0.2"/>
    <row r="244" s="80" customFormat="1" x14ac:dyDescent="0.2"/>
    <row r="245" s="80" customFormat="1" x14ac:dyDescent="0.2"/>
    <row r="246" s="80" customFormat="1" x14ac:dyDescent="0.2"/>
    <row r="247" s="80" customFormat="1" x14ac:dyDescent="0.2"/>
    <row r="248" s="80" customFormat="1" x14ac:dyDescent="0.2"/>
    <row r="249" s="80" customFormat="1" x14ac:dyDescent="0.2"/>
    <row r="250" s="80" customFormat="1" x14ac:dyDescent="0.2"/>
    <row r="251" s="80" customFormat="1" x14ac:dyDescent="0.2"/>
    <row r="252" s="80" customFormat="1" x14ac:dyDescent="0.2"/>
    <row r="253" s="80" customFormat="1" x14ac:dyDescent="0.2"/>
    <row r="254" s="80" customFormat="1" x14ac:dyDescent="0.2"/>
    <row r="255" s="80" customFormat="1" x14ac:dyDescent="0.2"/>
    <row r="256" s="80" customFormat="1" x14ac:dyDescent="0.2"/>
    <row r="257" s="80" customFormat="1" x14ac:dyDescent="0.2"/>
    <row r="258" s="80" customFormat="1" x14ac:dyDescent="0.2"/>
    <row r="259" s="80" customFormat="1" x14ac:dyDescent="0.2"/>
    <row r="260" s="80" customFormat="1" x14ac:dyDescent="0.2"/>
    <row r="261" s="80" customFormat="1" x14ac:dyDescent="0.2"/>
    <row r="262" s="80" customFormat="1" x14ac:dyDescent="0.2"/>
    <row r="263" s="80" customFormat="1" x14ac:dyDescent="0.2"/>
    <row r="264" s="80" customFormat="1" x14ac:dyDescent="0.2"/>
    <row r="265" s="80" customFormat="1" x14ac:dyDescent="0.2"/>
    <row r="266" s="80" customFormat="1" x14ac:dyDescent="0.2"/>
    <row r="267" s="80" customFormat="1" x14ac:dyDescent="0.2"/>
    <row r="268" s="80" customFormat="1" x14ac:dyDescent="0.2"/>
    <row r="269" s="80" customFormat="1" x14ac:dyDescent="0.2"/>
    <row r="270" s="80" customFormat="1" x14ac:dyDescent="0.2"/>
    <row r="271" s="80" customFormat="1" x14ac:dyDescent="0.2"/>
    <row r="272" s="80" customFormat="1" x14ac:dyDescent="0.2"/>
    <row r="273" s="80" customFormat="1" x14ac:dyDescent="0.2"/>
    <row r="274" s="80" customFormat="1" x14ac:dyDescent="0.2"/>
    <row r="275" s="80" customFormat="1" x14ac:dyDescent="0.2"/>
    <row r="276" s="80" customFormat="1" x14ac:dyDescent="0.2"/>
    <row r="277" s="80" customFormat="1" x14ac:dyDescent="0.2"/>
    <row r="278" s="80" customFormat="1" x14ac:dyDescent="0.2"/>
    <row r="279" s="80" customFormat="1" x14ac:dyDescent="0.2"/>
    <row r="280" s="80" customFormat="1" x14ac:dyDescent="0.2"/>
    <row r="281" s="80" customFormat="1" x14ac:dyDescent="0.2"/>
    <row r="282" s="80" customFormat="1" x14ac:dyDescent="0.2"/>
    <row r="283" s="80" customFormat="1" x14ac:dyDescent="0.2"/>
    <row r="284" s="80" customFormat="1" x14ac:dyDescent="0.2"/>
    <row r="285" s="80" customFormat="1" x14ac:dyDescent="0.2"/>
    <row r="286" s="80" customFormat="1" x14ac:dyDescent="0.2"/>
    <row r="287" s="80" customFormat="1" x14ac:dyDescent="0.2"/>
    <row r="288" s="80" customFormat="1" x14ac:dyDescent="0.2"/>
    <row r="289" s="80" customFormat="1" x14ac:dyDescent="0.2"/>
    <row r="290" s="80" customFormat="1" x14ac:dyDescent="0.2"/>
    <row r="291" s="80" customFormat="1" x14ac:dyDescent="0.2"/>
    <row r="292" s="80" customFormat="1" x14ac:dyDescent="0.2"/>
    <row r="293" s="80" customFormat="1" x14ac:dyDescent="0.2"/>
    <row r="294" s="80" customFormat="1" x14ac:dyDescent="0.2"/>
    <row r="295" s="80" customFormat="1" x14ac:dyDescent="0.2"/>
    <row r="296" s="80" customFormat="1" x14ac:dyDescent="0.2"/>
    <row r="297" s="80" customFormat="1" x14ac:dyDescent="0.2"/>
    <row r="298" s="80" customFormat="1" x14ac:dyDescent="0.2"/>
    <row r="299" s="80" customFormat="1" x14ac:dyDescent="0.2"/>
    <row r="300" s="80" customFormat="1" x14ac:dyDescent="0.2"/>
    <row r="301" s="80" customFormat="1" x14ac:dyDescent="0.2"/>
    <row r="302" s="80" customFormat="1" x14ac:dyDescent="0.2"/>
    <row r="303" s="80" customFormat="1" x14ac:dyDescent="0.2"/>
    <row r="304" s="80" customFormat="1" x14ac:dyDescent="0.2"/>
    <row r="305" s="80" customFormat="1" x14ac:dyDescent="0.2"/>
    <row r="306" s="80" customFormat="1" x14ac:dyDescent="0.2"/>
    <row r="307" s="80" customFormat="1" x14ac:dyDescent="0.2"/>
    <row r="308" s="80" customFormat="1" x14ac:dyDescent="0.2"/>
    <row r="309" s="80" customFormat="1" x14ac:dyDescent="0.2"/>
    <row r="310" s="80" customFormat="1" x14ac:dyDescent="0.2"/>
    <row r="311" s="80" customFormat="1" x14ac:dyDescent="0.2"/>
    <row r="312" s="80" customFormat="1" x14ac:dyDescent="0.2"/>
    <row r="313" s="80" customFormat="1" x14ac:dyDescent="0.2"/>
    <row r="314" s="80" customFormat="1" x14ac:dyDescent="0.2"/>
    <row r="315" s="80" customFormat="1" x14ac:dyDescent="0.2"/>
    <row r="316" s="80" customFormat="1" x14ac:dyDescent="0.2"/>
    <row r="317" s="80" customFormat="1" x14ac:dyDescent="0.2"/>
    <row r="318" s="80" customFormat="1" x14ac:dyDescent="0.2"/>
    <row r="319" s="80" customFormat="1" x14ac:dyDescent="0.2"/>
    <row r="320" s="80" customFormat="1" x14ac:dyDescent="0.2"/>
    <row r="321" s="80" customFormat="1" x14ac:dyDescent="0.2"/>
    <row r="322" s="80" customFormat="1" x14ac:dyDescent="0.2"/>
    <row r="323" s="80" customFormat="1" x14ac:dyDescent="0.2"/>
    <row r="324" s="80" customFormat="1" x14ac:dyDescent="0.2"/>
    <row r="325" s="80" customFormat="1" x14ac:dyDescent="0.2"/>
    <row r="326" s="80" customFormat="1" x14ac:dyDescent="0.2"/>
    <row r="327" s="80" customFormat="1" x14ac:dyDescent="0.2"/>
    <row r="328" s="80" customFormat="1" x14ac:dyDescent="0.2"/>
    <row r="329" s="80" customFormat="1" x14ac:dyDescent="0.2"/>
  </sheetData>
  <sheetProtection algorithmName="SHA-512" hashValue="Nip6wSYK2SfV27+9izX0limV4FlbEQoXcuOKNjg8zj8tl9zL0OKiSjfVONhtXzFRGDEra1yenPtuwfe6p9ivuA==" saltValue="7LEda5scBzssCEZFAXxd7w==" spinCount="100000" sheet="1" objects="1" scenarios="1"/>
  <mergeCells count="2">
    <mergeCell ref="C2:G2"/>
    <mergeCell ref="C39:F39"/>
  </mergeCells>
  <printOptions horizontalCentered="1"/>
  <pageMargins left="0.75" right="0.75" top="1" bottom="1" header="0.5" footer="0.5"/>
  <pageSetup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F4D5-BC62-40F2-9874-CF4348A9593C}">
  <dimension ref="A1:BO303"/>
  <sheetViews>
    <sheetView zoomScaleNormal="100" workbookViewId="0">
      <selection activeCell="E3" sqref="E3"/>
    </sheetView>
  </sheetViews>
  <sheetFormatPr defaultRowHeight="12.75" x14ac:dyDescent="0.2"/>
  <cols>
    <col min="1" max="1" width="9.85546875" customWidth="1"/>
    <col min="2" max="2" width="10.28515625" customWidth="1"/>
    <col min="3" max="3" width="3.28515625" customWidth="1"/>
    <col min="4" max="4" width="4.28515625" customWidth="1"/>
    <col min="5" max="5" width="23.42578125" style="1" customWidth="1"/>
    <col min="6" max="6" width="8.5703125" style="1" customWidth="1"/>
    <col min="7" max="13" width="12.5703125" customWidth="1"/>
    <col min="14" max="14" width="18.140625" customWidth="1"/>
    <col min="15" max="15" width="2.28515625" style="1" customWidth="1"/>
    <col min="16" max="16" width="14" style="1" bestFit="1" customWidth="1"/>
    <col min="17" max="17" width="2.28515625" style="1" customWidth="1"/>
    <col min="18" max="18" width="14" style="1" bestFit="1" customWidth="1"/>
    <col min="19" max="19" width="2.28515625" style="1" customWidth="1"/>
    <col min="20" max="20" width="14" style="1" bestFit="1" customWidth="1"/>
    <col min="21" max="21" width="9.140625" style="1"/>
    <col min="22" max="22" width="11.28515625" style="1" hidden="1" customWidth="1"/>
    <col min="23" max="23" width="10.28515625" style="1" hidden="1" customWidth="1"/>
    <col min="24" max="24" width="15.140625" style="1" hidden="1" customWidth="1"/>
    <col min="25" max="67" width="9.140625" style="1"/>
  </cols>
  <sheetData>
    <row r="1" spans="1:25" x14ac:dyDescent="0.2">
      <c r="A1" s="80"/>
      <c r="B1" s="80"/>
      <c r="C1" s="80"/>
      <c r="D1" s="80"/>
      <c r="E1" s="80"/>
      <c r="F1" s="80"/>
      <c r="G1" s="81"/>
      <c r="H1" s="81"/>
      <c r="I1" s="81"/>
      <c r="J1" s="81"/>
      <c r="K1" s="81"/>
      <c r="L1" s="81"/>
      <c r="M1" s="81"/>
      <c r="N1" s="81"/>
      <c r="O1" s="80"/>
      <c r="P1" s="80"/>
      <c r="Q1" s="80"/>
      <c r="R1" s="80"/>
      <c r="S1" s="80"/>
      <c r="T1" s="80"/>
      <c r="U1" s="80"/>
      <c r="V1" s="80"/>
      <c r="W1" s="80"/>
      <c r="X1" s="80"/>
      <c r="Y1" s="80"/>
    </row>
    <row r="2" spans="1:25" ht="25.5" x14ac:dyDescent="0.2">
      <c r="A2" s="174" t="s">
        <v>202</v>
      </c>
      <c r="B2" s="80"/>
      <c r="C2" s="80"/>
      <c r="D2" s="80"/>
      <c r="E2" s="80"/>
      <c r="F2" s="80"/>
      <c r="G2" s="81"/>
      <c r="H2" s="81"/>
      <c r="I2" s="81"/>
      <c r="J2" s="81"/>
      <c r="K2" s="81"/>
      <c r="L2" s="81"/>
      <c r="M2" s="81"/>
      <c r="N2" s="81"/>
      <c r="O2" s="80"/>
      <c r="P2" s="80"/>
      <c r="Q2" s="80"/>
      <c r="R2" s="80"/>
      <c r="S2" s="80"/>
      <c r="T2" s="80"/>
      <c r="U2" s="80"/>
      <c r="V2" s="80"/>
      <c r="W2" s="80"/>
      <c r="X2" s="80"/>
      <c r="Y2" s="80"/>
    </row>
    <row r="3" spans="1:25" s="1" customFormat="1" ht="20.25" customHeight="1" x14ac:dyDescent="0.25">
      <c r="A3" s="80"/>
      <c r="B3" s="204" t="s">
        <v>201</v>
      </c>
      <c r="D3" s="80"/>
      <c r="E3" s="80"/>
      <c r="F3" s="80"/>
      <c r="G3" s="206" t="s">
        <v>200</v>
      </c>
      <c r="H3" s="80"/>
      <c r="I3" s="81"/>
      <c r="J3" s="81"/>
      <c r="K3" s="81"/>
      <c r="L3" s="81"/>
      <c r="M3" s="81"/>
      <c r="N3" s="81"/>
      <c r="O3" s="80"/>
      <c r="P3" s="80"/>
      <c r="Q3" s="80"/>
      <c r="R3" s="80"/>
      <c r="S3" s="80"/>
      <c r="T3" s="80"/>
      <c r="U3" s="80"/>
      <c r="V3" s="80"/>
      <c r="W3" s="80"/>
      <c r="X3" s="80"/>
      <c r="Y3" s="80"/>
    </row>
    <row r="4" spans="1:25" s="1" customFormat="1" x14ac:dyDescent="0.2">
      <c r="A4" s="80"/>
      <c r="B4" s="205" t="s">
        <v>186</v>
      </c>
      <c r="C4" s="80"/>
      <c r="D4" s="80"/>
      <c r="E4" s="84">
        <f>IF(B3="Phase1",ROUNDUP('Assumptions Worksheet'!G8*'Assumptions Worksheet'!G7*'Assumptions Worksheet'!I8,0),IF(B3="Phase2",ROUNDUP('Assumptions Worksheet'!G9*'Assumptions Worksheet'!G7*'Assumptions Worksheet'!I9,0),ROUNDUP('Assumptions Worksheet'!G10*'Assumptions Worksheet'!G7*'Assumptions Worksheet'!I10,0)))</f>
        <v>32</v>
      </c>
      <c r="F4" s="84"/>
      <c r="G4" s="80"/>
      <c r="H4" s="80"/>
      <c r="I4" s="80"/>
      <c r="J4" s="80"/>
      <c r="K4" s="80"/>
      <c r="L4" s="80"/>
      <c r="M4" s="80"/>
      <c r="N4" s="80"/>
      <c r="O4" s="80"/>
      <c r="P4" s="80"/>
      <c r="Q4" s="80"/>
      <c r="R4" s="80"/>
      <c r="S4" s="80"/>
      <c r="T4" s="80"/>
      <c r="U4" s="80"/>
      <c r="V4" s="80"/>
      <c r="W4" s="80"/>
      <c r="X4" s="80"/>
      <c r="Y4" s="80"/>
    </row>
    <row r="5" spans="1:25" s="1" customFormat="1" ht="18" customHeight="1" x14ac:dyDescent="0.2">
      <c r="A5" s="80"/>
      <c r="B5" s="80"/>
      <c r="C5" s="83" t="s">
        <v>97</v>
      </c>
      <c r="D5" s="81"/>
      <c r="E5" s="80"/>
      <c r="F5" s="82" t="s">
        <v>213</v>
      </c>
      <c r="G5" s="85" t="s">
        <v>112</v>
      </c>
      <c r="H5" s="85" t="s">
        <v>113</v>
      </c>
      <c r="I5" s="85" t="s">
        <v>114</v>
      </c>
      <c r="J5" s="85" t="s">
        <v>115</v>
      </c>
      <c r="K5" s="85" t="s">
        <v>116</v>
      </c>
      <c r="L5" s="85" t="s">
        <v>117</v>
      </c>
      <c r="M5" s="85" t="s">
        <v>118</v>
      </c>
      <c r="N5" s="85" t="s">
        <v>119</v>
      </c>
      <c r="O5" s="80"/>
      <c r="P5" s="85" t="s">
        <v>203</v>
      </c>
      <c r="Q5" s="80"/>
      <c r="R5" s="85" t="s">
        <v>204</v>
      </c>
      <c r="S5" s="80"/>
      <c r="T5" s="85" t="s">
        <v>205</v>
      </c>
      <c r="U5" s="80"/>
      <c r="V5" s="82" t="s">
        <v>209</v>
      </c>
      <c r="W5" s="82" t="s">
        <v>210</v>
      </c>
      <c r="X5" s="82" t="s">
        <v>211</v>
      </c>
      <c r="Y5" s="80"/>
    </row>
    <row r="6" spans="1:25" s="1" customFormat="1" ht="18" customHeight="1" x14ac:dyDescent="0.2">
      <c r="A6" s="80"/>
      <c r="B6" s="80"/>
      <c r="C6" s="82"/>
      <c r="D6" s="81" t="s">
        <v>120</v>
      </c>
      <c r="E6" s="80"/>
      <c r="F6" s="80"/>
      <c r="G6" s="203">
        <v>1</v>
      </c>
      <c r="H6" s="203">
        <v>1</v>
      </c>
      <c r="I6" s="203">
        <v>1</v>
      </c>
      <c r="J6" s="203">
        <v>1</v>
      </c>
      <c r="K6" s="203">
        <v>1</v>
      </c>
      <c r="L6" s="203">
        <v>1</v>
      </c>
      <c r="M6" s="203">
        <v>1</v>
      </c>
      <c r="N6" s="86">
        <f t="shared" ref="N6:N9" si="0">SUM(G6:M6)</f>
        <v>7</v>
      </c>
      <c r="O6" s="80"/>
      <c r="P6" s="86"/>
      <c r="Q6" s="80"/>
      <c r="R6" s="86"/>
      <c r="S6" s="80"/>
      <c r="T6" s="86"/>
      <c r="U6" s="80"/>
      <c r="V6" s="80"/>
      <c r="W6" s="80"/>
      <c r="X6" s="80"/>
      <c r="Y6" s="80"/>
    </row>
    <row r="7" spans="1:25" s="1" customFormat="1" ht="18" customHeight="1" x14ac:dyDescent="0.2">
      <c r="A7" s="80"/>
      <c r="B7" s="80"/>
      <c r="C7" s="82"/>
      <c r="D7" s="82" t="s">
        <v>121</v>
      </c>
      <c r="E7" s="80"/>
      <c r="F7" s="80"/>
      <c r="G7" s="87">
        <f t="shared" ref="G7:M7" si="1">ROUND(G6*$E$4,0)</f>
        <v>32</v>
      </c>
      <c r="H7" s="87">
        <f t="shared" si="1"/>
        <v>32</v>
      </c>
      <c r="I7" s="87">
        <f t="shared" si="1"/>
        <v>32</v>
      </c>
      <c r="J7" s="87">
        <f t="shared" si="1"/>
        <v>32</v>
      </c>
      <c r="K7" s="87">
        <f t="shared" si="1"/>
        <v>32</v>
      </c>
      <c r="L7" s="87">
        <f t="shared" si="1"/>
        <v>32</v>
      </c>
      <c r="M7" s="87">
        <f t="shared" si="1"/>
        <v>32</v>
      </c>
      <c r="N7" s="88">
        <f t="shared" si="0"/>
        <v>224</v>
      </c>
      <c r="O7" s="80"/>
      <c r="P7" s="88"/>
      <c r="Q7" s="80"/>
      <c r="R7" s="88"/>
      <c r="S7" s="80"/>
      <c r="T7" s="88"/>
      <c r="U7" s="80"/>
      <c r="V7" s="80"/>
      <c r="W7" s="80"/>
      <c r="X7" s="80"/>
      <c r="Y7" s="80"/>
    </row>
    <row r="8" spans="1:25" s="1" customFormat="1" ht="18" customHeight="1" x14ac:dyDescent="0.25">
      <c r="A8" s="80"/>
      <c r="B8" s="80"/>
      <c r="C8" s="82"/>
      <c r="D8" s="81" t="s">
        <v>122</v>
      </c>
      <c r="E8" s="80"/>
      <c r="F8" s="199">
        <f>'Assumptions Worksheet'!$G$12</f>
        <v>22.5</v>
      </c>
      <c r="G8" s="89">
        <f>'Assumptions Worksheet'!$G$12</f>
        <v>22.5</v>
      </c>
      <c r="H8" s="89">
        <f>'Assumptions Worksheet'!$G$12</f>
        <v>22.5</v>
      </c>
      <c r="I8" s="89">
        <f>'Assumptions Worksheet'!$G$12</f>
        <v>22.5</v>
      </c>
      <c r="J8" s="89">
        <f>'Assumptions Worksheet'!$G$12</f>
        <v>22.5</v>
      </c>
      <c r="K8" s="89">
        <f>'Assumptions Worksheet'!$G$12</f>
        <v>22.5</v>
      </c>
      <c r="L8" s="89">
        <f>'Assumptions Worksheet'!$G$12</f>
        <v>22.5</v>
      </c>
      <c r="M8" s="89">
        <f>'Assumptions Worksheet'!$G$12</f>
        <v>22.5</v>
      </c>
      <c r="N8" s="90">
        <f>N9/N7</f>
        <v>22.5</v>
      </c>
      <c r="O8" s="80"/>
      <c r="P8" s="90"/>
      <c r="Q8" s="80"/>
      <c r="R8" s="90"/>
      <c r="S8" s="80"/>
      <c r="T8" s="90"/>
      <c r="U8" s="80"/>
      <c r="V8" s="80"/>
      <c r="W8" s="80"/>
      <c r="X8" s="80"/>
      <c r="Y8" s="80"/>
    </row>
    <row r="9" spans="1:25" s="1" customFormat="1" ht="18" customHeight="1" x14ac:dyDescent="0.25">
      <c r="A9" s="80"/>
      <c r="B9" s="80"/>
      <c r="C9" s="82"/>
      <c r="D9" s="91" t="s">
        <v>181</v>
      </c>
      <c r="E9" s="80"/>
      <c r="F9" s="80"/>
      <c r="G9" s="92">
        <f>G7*G8</f>
        <v>720</v>
      </c>
      <c r="H9" s="92">
        <f t="shared" ref="H9:M9" si="2">H7*H8</f>
        <v>720</v>
      </c>
      <c r="I9" s="92">
        <f t="shared" si="2"/>
        <v>720</v>
      </c>
      <c r="J9" s="92">
        <f t="shared" si="2"/>
        <v>720</v>
      </c>
      <c r="K9" s="92">
        <f t="shared" si="2"/>
        <v>720</v>
      </c>
      <c r="L9" s="92">
        <f t="shared" si="2"/>
        <v>720</v>
      </c>
      <c r="M9" s="92">
        <f t="shared" si="2"/>
        <v>720</v>
      </c>
      <c r="N9" s="93">
        <f t="shared" si="0"/>
        <v>5040</v>
      </c>
      <c r="O9" s="80"/>
      <c r="P9" s="93">
        <f>$N9/7*28</f>
        <v>20160</v>
      </c>
      <c r="Q9" s="80"/>
      <c r="R9" s="93">
        <f>$N9/7*30</f>
        <v>21600</v>
      </c>
      <c r="S9" s="80"/>
      <c r="T9" s="93">
        <f>$N9/7*31</f>
        <v>22320</v>
      </c>
      <c r="U9" s="80"/>
      <c r="V9" s="94">
        <f>N9*'Assumptions Worksheet'!I12</f>
        <v>1260</v>
      </c>
      <c r="W9" s="94">
        <f>N9*'Assumptions Worksheet'!K12</f>
        <v>0</v>
      </c>
      <c r="X9" s="94">
        <f>N9*'Assumptions Worksheet'!O12*'Assumptions Worksheet'!$G$27</f>
        <v>120.96</v>
      </c>
      <c r="Y9" s="80"/>
    </row>
    <row r="10" spans="1:25" s="1" customFormat="1" ht="6.75" customHeight="1" x14ac:dyDescent="0.2">
      <c r="A10" s="80"/>
      <c r="B10" s="80"/>
      <c r="C10" s="82"/>
      <c r="D10" s="81"/>
      <c r="E10" s="80"/>
      <c r="F10" s="80"/>
      <c r="G10" s="95"/>
      <c r="H10" s="95"/>
      <c r="I10" s="95"/>
      <c r="J10" s="95"/>
      <c r="K10" s="95"/>
      <c r="L10" s="95"/>
      <c r="M10" s="95"/>
      <c r="N10" s="96"/>
      <c r="O10" s="80"/>
      <c r="P10" s="96"/>
      <c r="Q10" s="80"/>
      <c r="R10" s="96"/>
      <c r="S10" s="80"/>
      <c r="T10" s="96"/>
      <c r="U10" s="80"/>
      <c r="V10" s="80"/>
      <c r="W10" s="80"/>
      <c r="X10" s="80"/>
      <c r="Y10" s="80"/>
    </row>
    <row r="11" spans="1:25" s="1" customFormat="1" ht="12.75" customHeight="1" x14ac:dyDescent="0.2">
      <c r="A11" s="80"/>
      <c r="B11" s="80"/>
      <c r="C11" s="97" t="s">
        <v>96</v>
      </c>
      <c r="D11" s="81"/>
      <c r="E11" s="81"/>
      <c r="F11" s="81"/>
      <c r="G11" s="98"/>
      <c r="H11" s="98"/>
      <c r="I11" s="98"/>
      <c r="J11" s="98"/>
      <c r="K11" s="98"/>
      <c r="L11" s="98"/>
      <c r="M11" s="98"/>
      <c r="N11" s="98"/>
      <c r="O11" s="80"/>
      <c r="P11" s="98"/>
      <c r="Q11" s="80"/>
      <c r="R11" s="98"/>
      <c r="S11" s="80"/>
      <c r="T11" s="98"/>
      <c r="U11" s="80"/>
      <c r="V11" s="80"/>
      <c r="W11" s="80"/>
      <c r="X11" s="80"/>
      <c r="Y11" s="80"/>
    </row>
    <row r="12" spans="1:25" s="1" customFormat="1" ht="12.75" customHeight="1" x14ac:dyDescent="0.2">
      <c r="A12" s="80"/>
      <c r="B12" s="80"/>
      <c r="C12" s="81"/>
      <c r="D12" s="124" t="s">
        <v>124</v>
      </c>
      <c r="E12" s="81"/>
      <c r="F12" s="200">
        <f>'Assumptions Worksheet'!G14</f>
        <v>40</v>
      </c>
      <c r="G12" s="24">
        <v>30</v>
      </c>
      <c r="H12" s="24">
        <v>50</v>
      </c>
      <c r="I12" s="24">
        <v>30</v>
      </c>
      <c r="J12" s="24">
        <v>30</v>
      </c>
      <c r="K12" s="24">
        <v>50</v>
      </c>
      <c r="L12" s="24">
        <v>50</v>
      </c>
      <c r="M12" s="24">
        <v>30</v>
      </c>
      <c r="N12" s="99">
        <f t="shared" ref="N12:N15" si="3">SUM(G12:M12)</f>
        <v>270</v>
      </c>
      <c r="O12" s="80"/>
      <c r="P12" s="99"/>
      <c r="Q12" s="80"/>
      <c r="R12" s="99"/>
      <c r="S12" s="80"/>
      <c r="T12" s="99"/>
      <c r="U12" s="80"/>
      <c r="V12" s="94">
        <f>N12*'Assumptions Worksheet'!I14*'Assumptions Worksheet'!G14</f>
        <v>2700</v>
      </c>
      <c r="W12" s="94">
        <f>N12*'Assumptions Worksheet'!K14*'Assumptions Worksheet'!G14</f>
        <v>432</v>
      </c>
      <c r="X12" s="94">
        <f>N12*'Assumptions Worksheet'!O14*'Assumptions Worksheet'!G14*'Assumptions Worksheet'!$G$27</f>
        <v>324</v>
      </c>
      <c r="Y12" s="80"/>
    </row>
    <row r="13" spans="1:25" s="1" customFormat="1" ht="12.75" customHeight="1" x14ac:dyDescent="0.2">
      <c r="A13" s="80"/>
      <c r="B13" s="80"/>
      <c r="C13" s="81"/>
      <c r="D13" s="124" t="s">
        <v>125</v>
      </c>
      <c r="E13" s="81"/>
      <c r="F13" s="200">
        <f>'Assumptions Worksheet'!G15</f>
        <v>60</v>
      </c>
      <c r="G13" s="24">
        <v>10</v>
      </c>
      <c r="H13" s="24">
        <v>10</v>
      </c>
      <c r="I13" s="24">
        <v>10</v>
      </c>
      <c r="J13" s="24">
        <v>10</v>
      </c>
      <c r="K13" s="24">
        <v>10</v>
      </c>
      <c r="L13" s="24">
        <v>10</v>
      </c>
      <c r="M13" s="24">
        <v>10</v>
      </c>
      <c r="N13" s="99">
        <f t="shared" si="3"/>
        <v>70</v>
      </c>
      <c r="O13" s="80"/>
      <c r="P13" s="99"/>
      <c r="Q13" s="80"/>
      <c r="R13" s="99"/>
      <c r="S13" s="80"/>
      <c r="T13" s="99"/>
      <c r="U13" s="80"/>
      <c r="V13" s="94">
        <f>N13*'Assumptions Worksheet'!I15*'Assumptions Worksheet'!G15</f>
        <v>1680</v>
      </c>
      <c r="W13" s="94">
        <f>N13*'Assumptions Worksheet'!K15*'Assumptions Worksheet'!G15</f>
        <v>168.00000000000003</v>
      </c>
      <c r="X13" s="94">
        <f>N13*'Assumptions Worksheet'!O15*'Assumptions Worksheet'!G15*'Assumptions Worksheet'!$G$27</f>
        <v>126</v>
      </c>
      <c r="Y13" s="80"/>
    </row>
    <row r="14" spans="1:25" s="1" customFormat="1" ht="12.75" customHeight="1" x14ac:dyDescent="0.2">
      <c r="A14" s="80"/>
      <c r="B14" s="80"/>
      <c r="C14" s="81"/>
      <c r="D14" s="124" t="s">
        <v>126</v>
      </c>
      <c r="E14" s="81"/>
      <c r="F14" s="200">
        <f>'Assumptions Worksheet'!G16</f>
        <v>10</v>
      </c>
      <c r="G14" s="24"/>
      <c r="H14" s="24"/>
      <c r="I14" s="24"/>
      <c r="J14" s="24"/>
      <c r="K14" s="24"/>
      <c r="L14" s="24"/>
      <c r="M14" s="24"/>
      <c r="N14" s="99">
        <f t="shared" si="3"/>
        <v>0</v>
      </c>
      <c r="O14" s="80"/>
      <c r="P14" s="99"/>
      <c r="Q14" s="80"/>
      <c r="R14" s="99"/>
      <c r="S14" s="80"/>
      <c r="T14" s="99"/>
      <c r="U14" s="80"/>
      <c r="V14" s="94">
        <f>N14*'Assumptions Worksheet'!I16*'Assumptions Worksheet'!G16</f>
        <v>0</v>
      </c>
      <c r="W14" s="94">
        <f>N14*'Assumptions Worksheet'!K16*'Assumptions Worksheet'!G16</f>
        <v>0</v>
      </c>
      <c r="X14" s="94">
        <f>N14*'Assumptions Worksheet'!O16*'Assumptions Worksheet'!G16*'Assumptions Worksheet'!$G$27</f>
        <v>0</v>
      </c>
      <c r="Y14" s="80"/>
    </row>
    <row r="15" spans="1:25" s="1" customFormat="1" ht="18" customHeight="1" x14ac:dyDescent="0.25">
      <c r="A15" s="80"/>
      <c r="B15" s="80"/>
      <c r="C15" s="82"/>
      <c r="D15" s="91" t="s">
        <v>182</v>
      </c>
      <c r="E15" s="80"/>
      <c r="F15" s="80"/>
      <c r="G15" s="92">
        <f>(G12*'Assumptions Worksheet'!$G$14)+(G13*'Assumptions Worksheet'!$G$15)+(G14*'Assumptions Worksheet'!$G$16)</f>
        <v>1800</v>
      </c>
      <c r="H15" s="92">
        <f>(H12*'Assumptions Worksheet'!$G$14)+(H13*'Assumptions Worksheet'!$G$15)+(H14*'Assumptions Worksheet'!$G$16)</f>
        <v>2600</v>
      </c>
      <c r="I15" s="92">
        <f>(I12*'Assumptions Worksheet'!$G$14)+(I13*'Assumptions Worksheet'!$G$15)+(I14*'Assumptions Worksheet'!$G$16)</f>
        <v>1800</v>
      </c>
      <c r="J15" s="92">
        <f>(J12*'Assumptions Worksheet'!$G$14)+(J13*'Assumptions Worksheet'!$G$15)+(J14*'Assumptions Worksheet'!$G$16)</f>
        <v>1800</v>
      </c>
      <c r="K15" s="92">
        <f>(K12*'Assumptions Worksheet'!$G$14)+(K13*'Assumptions Worksheet'!$G$15)+(K14*'Assumptions Worksheet'!$G$16)</f>
        <v>2600</v>
      </c>
      <c r="L15" s="92">
        <f>(L12*'Assumptions Worksheet'!$G$14)+(L13*'Assumptions Worksheet'!$G$15)+(L14*'Assumptions Worksheet'!$G$16)</f>
        <v>2600</v>
      </c>
      <c r="M15" s="92">
        <f>(M12*'Assumptions Worksheet'!$G$14)+(M13*'Assumptions Worksheet'!$G$15)+(M14*'Assumptions Worksheet'!$G$16)</f>
        <v>1800</v>
      </c>
      <c r="N15" s="93">
        <f t="shared" si="3"/>
        <v>15000</v>
      </c>
      <c r="O15" s="80"/>
      <c r="P15" s="93">
        <f>$N15/7*28</f>
        <v>59999.999999999993</v>
      </c>
      <c r="Q15" s="80"/>
      <c r="R15" s="93">
        <f>$N15/7*30</f>
        <v>64285.714285714283</v>
      </c>
      <c r="S15" s="80"/>
      <c r="T15" s="93">
        <f>$N15/7*31</f>
        <v>66428.57142857142</v>
      </c>
      <c r="U15" s="80"/>
      <c r="V15" s="80"/>
      <c r="W15" s="80"/>
      <c r="X15" s="80"/>
      <c r="Y15" s="80"/>
    </row>
    <row r="16" spans="1:25" s="1" customFormat="1" ht="18" customHeight="1" x14ac:dyDescent="0.25">
      <c r="A16" s="80"/>
      <c r="B16" s="80"/>
      <c r="C16" s="82"/>
      <c r="D16" s="91"/>
      <c r="E16" s="80"/>
      <c r="F16" s="80"/>
      <c r="G16" s="100"/>
      <c r="H16" s="101"/>
      <c r="I16" s="101"/>
      <c r="J16" s="101"/>
      <c r="K16" s="101"/>
      <c r="L16" s="101"/>
      <c r="M16" s="101"/>
      <c r="N16" s="102"/>
      <c r="O16" s="80"/>
      <c r="P16" s="102"/>
      <c r="Q16" s="80"/>
      <c r="R16" s="102"/>
      <c r="S16" s="80"/>
      <c r="T16" s="102"/>
      <c r="U16" s="80"/>
      <c r="V16" s="80"/>
      <c r="W16" s="80"/>
      <c r="X16" s="80"/>
      <c r="Y16" s="80"/>
    </row>
    <row r="17" spans="1:25" s="1" customFormat="1" ht="12.75" customHeight="1" x14ac:dyDescent="0.2">
      <c r="A17" s="80"/>
      <c r="B17" s="80"/>
      <c r="C17" s="97" t="s">
        <v>103</v>
      </c>
      <c r="D17" s="81"/>
      <c r="E17" s="81"/>
      <c r="F17" s="81"/>
      <c r="G17" s="103"/>
      <c r="H17" s="104"/>
      <c r="I17" s="104"/>
      <c r="J17" s="104"/>
      <c r="K17" s="104"/>
      <c r="L17" s="104"/>
      <c r="M17" s="104"/>
      <c r="N17" s="105"/>
      <c r="O17" s="80"/>
      <c r="P17" s="105"/>
      <c r="Q17" s="80"/>
      <c r="R17" s="105"/>
      <c r="S17" s="80"/>
      <c r="T17" s="105"/>
      <c r="U17" s="80"/>
      <c r="V17" s="80"/>
      <c r="W17" s="80"/>
      <c r="X17" s="80"/>
      <c r="Y17" s="80"/>
    </row>
    <row r="18" spans="1:25" s="1" customFormat="1" ht="12.75" customHeight="1" x14ac:dyDescent="0.2">
      <c r="A18" s="80"/>
      <c r="B18" s="80"/>
      <c r="C18" s="81"/>
      <c r="D18" s="124" t="s">
        <v>124</v>
      </c>
      <c r="E18" s="81"/>
      <c r="F18" s="200">
        <f>'Assumptions Worksheet'!G18</f>
        <v>30</v>
      </c>
      <c r="G18" s="24">
        <v>20</v>
      </c>
      <c r="H18" s="24">
        <v>20</v>
      </c>
      <c r="I18" s="24">
        <v>20</v>
      </c>
      <c r="J18" s="24">
        <v>20</v>
      </c>
      <c r="K18" s="24">
        <v>20</v>
      </c>
      <c r="L18" s="24">
        <v>20</v>
      </c>
      <c r="M18" s="24">
        <v>20</v>
      </c>
      <c r="N18" s="106">
        <f t="shared" ref="N18:N20" si="4">SUM(G18:M18)</f>
        <v>140</v>
      </c>
      <c r="O18" s="80"/>
      <c r="P18" s="106"/>
      <c r="Q18" s="80"/>
      <c r="R18" s="106"/>
      <c r="S18" s="80"/>
      <c r="T18" s="106"/>
      <c r="U18" s="80"/>
      <c r="V18" s="94">
        <f>N18*'Assumptions Worksheet'!I18*'Assumptions Worksheet'!G18</f>
        <v>1050</v>
      </c>
      <c r="W18" s="94">
        <f>N18*'Assumptions Worksheet'!K18*'Assumptions Worksheet'!G18</f>
        <v>168.00000000000003</v>
      </c>
      <c r="X18" s="94">
        <f>N18*'Assumptions Worksheet'!G18*'Assumptions Worksheet'!O18*'Assumptions Worksheet'!$G$27</f>
        <v>126</v>
      </c>
      <c r="Y18" s="80"/>
    </row>
    <row r="19" spans="1:25" s="1" customFormat="1" ht="12.75" customHeight="1" x14ac:dyDescent="0.2">
      <c r="A19" s="80"/>
      <c r="B19" s="80"/>
      <c r="C19" s="81"/>
      <c r="D19" s="124" t="s">
        <v>125</v>
      </c>
      <c r="E19" s="81"/>
      <c r="F19" s="200">
        <f>'Assumptions Worksheet'!G19</f>
        <v>40</v>
      </c>
      <c r="G19" s="24">
        <v>3</v>
      </c>
      <c r="H19" s="24">
        <v>3</v>
      </c>
      <c r="I19" s="24">
        <v>3</v>
      </c>
      <c r="J19" s="24">
        <v>3</v>
      </c>
      <c r="K19" s="24">
        <v>5</v>
      </c>
      <c r="L19" s="24">
        <v>5</v>
      </c>
      <c r="M19" s="24">
        <v>3</v>
      </c>
      <c r="N19" s="99">
        <f t="shared" si="4"/>
        <v>25</v>
      </c>
      <c r="O19" s="80"/>
      <c r="P19" s="99"/>
      <c r="Q19" s="80"/>
      <c r="R19" s="99"/>
      <c r="S19" s="80"/>
      <c r="T19" s="99"/>
      <c r="U19" s="80"/>
      <c r="V19" s="94">
        <f>N19*'Assumptions Worksheet'!I19*'Assumptions Worksheet'!G19</f>
        <v>400</v>
      </c>
      <c r="W19" s="94">
        <f>N19*'Assumptions Worksheet'!K19*'Assumptions Worksheet'!G19</f>
        <v>40</v>
      </c>
      <c r="X19" s="94">
        <f>N19*'Assumptions Worksheet'!G19*'Assumptions Worksheet'!O19*'Assumptions Worksheet'!$G$27</f>
        <v>30</v>
      </c>
      <c r="Y19" s="80"/>
    </row>
    <row r="20" spans="1:25" s="1" customFormat="1" ht="12.75" customHeight="1" x14ac:dyDescent="0.2">
      <c r="A20" s="80"/>
      <c r="B20" s="80"/>
      <c r="C20" s="81"/>
      <c r="D20" s="124" t="s">
        <v>126</v>
      </c>
      <c r="E20" s="81"/>
      <c r="F20" s="200">
        <f>'Assumptions Worksheet'!G20</f>
        <v>10</v>
      </c>
      <c r="G20" s="24"/>
      <c r="H20" s="24">
        <v>1</v>
      </c>
      <c r="I20" s="24"/>
      <c r="J20" s="24"/>
      <c r="K20" s="24"/>
      <c r="L20" s="24"/>
      <c r="M20" s="24"/>
      <c r="N20" s="99">
        <f t="shared" si="4"/>
        <v>1</v>
      </c>
      <c r="O20" s="80"/>
      <c r="P20" s="99"/>
      <c r="Q20" s="80"/>
      <c r="R20" s="99"/>
      <c r="S20" s="80"/>
      <c r="T20" s="99"/>
      <c r="U20" s="80"/>
      <c r="V20" s="94">
        <f>N20*'Assumptions Worksheet'!I20*'Assumptions Worksheet'!G20</f>
        <v>0</v>
      </c>
      <c r="W20" s="94">
        <f>N20*'Assumptions Worksheet'!K20*'Assumptions Worksheet'!G20</f>
        <v>0.4</v>
      </c>
      <c r="X20" s="94">
        <f>N20*'Assumptions Worksheet'!G20*'Assumptions Worksheet'!O20*'Assumptions Worksheet'!$G$27</f>
        <v>0.3</v>
      </c>
      <c r="Y20" s="80"/>
    </row>
    <row r="21" spans="1:25" s="1" customFormat="1" ht="18" customHeight="1" x14ac:dyDescent="0.25">
      <c r="A21" s="80"/>
      <c r="B21" s="80"/>
      <c r="C21" s="82"/>
      <c r="D21" s="91" t="s">
        <v>183</v>
      </c>
      <c r="E21" s="80"/>
      <c r="F21" s="80"/>
      <c r="G21" s="92">
        <f>(G18*'Assumptions Worksheet'!$G$18)+(G19*'Assumptions Worksheet'!$G$19)+(G20*'Assumptions Worksheet'!$G$20)</f>
        <v>720</v>
      </c>
      <c r="H21" s="92">
        <f>(H18*'Assumptions Worksheet'!$G$18)+(H19*'Assumptions Worksheet'!$G$19)+(H20*'Assumptions Worksheet'!$G$20)</f>
        <v>730</v>
      </c>
      <c r="I21" s="92">
        <f>(I18*'Assumptions Worksheet'!$G$18)+(I19*'Assumptions Worksheet'!$G$19)+(I20*'Assumptions Worksheet'!$G$20)</f>
        <v>720</v>
      </c>
      <c r="J21" s="92">
        <f>(J18*'Assumptions Worksheet'!$G$18)+(J19*'Assumptions Worksheet'!$G$19)+(J20*'Assumptions Worksheet'!$G$20)</f>
        <v>720</v>
      </c>
      <c r="K21" s="92">
        <f>(K18*'Assumptions Worksheet'!$G$18)+(K19*'Assumptions Worksheet'!$G$19)+(K20*'Assumptions Worksheet'!$G$20)</f>
        <v>800</v>
      </c>
      <c r="L21" s="92">
        <f>(L18*'Assumptions Worksheet'!$G$18)+(L19*'Assumptions Worksheet'!$G$19)+(L20*'Assumptions Worksheet'!$G$20)</f>
        <v>800</v>
      </c>
      <c r="M21" s="92">
        <f>(M18*'Assumptions Worksheet'!$G$18)+(M19*'Assumptions Worksheet'!$G$19)+(M20*'Assumptions Worksheet'!$G$20)</f>
        <v>720</v>
      </c>
      <c r="N21" s="93">
        <f t="shared" ref="N21" si="5">SUM(G21:M21)</f>
        <v>5210</v>
      </c>
      <c r="O21" s="80"/>
      <c r="P21" s="93">
        <f>$N21/7*28</f>
        <v>20840</v>
      </c>
      <c r="Q21" s="80"/>
      <c r="R21" s="93">
        <f>$N21/7*30</f>
        <v>22328.571428571431</v>
      </c>
      <c r="S21" s="80"/>
      <c r="T21" s="93">
        <f>$N21/7*31</f>
        <v>23072.857142857145</v>
      </c>
      <c r="U21" s="80"/>
      <c r="V21" s="80"/>
      <c r="W21" s="80"/>
      <c r="X21" s="80"/>
      <c r="Y21" s="80"/>
    </row>
    <row r="22" spans="1:25" s="1" customFormat="1" ht="18" customHeight="1" x14ac:dyDescent="0.25">
      <c r="A22" s="80"/>
      <c r="B22" s="80"/>
      <c r="C22" s="82"/>
      <c r="D22" s="91"/>
      <c r="E22" s="80"/>
      <c r="F22" s="80"/>
      <c r="G22" s="100"/>
      <c r="H22" s="101"/>
      <c r="I22" s="101"/>
      <c r="J22" s="101"/>
      <c r="K22" s="101"/>
      <c r="L22" s="101"/>
      <c r="M22" s="101"/>
      <c r="N22" s="102"/>
      <c r="O22" s="80"/>
      <c r="P22" s="102"/>
      <c r="Q22" s="80"/>
      <c r="R22" s="102"/>
      <c r="S22" s="80"/>
      <c r="T22" s="102"/>
      <c r="U22" s="80"/>
      <c r="V22" s="80"/>
      <c r="W22" s="80"/>
      <c r="X22" s="80"/>
      <c r="Y22" s="80"/>
    </row>
    <row r="23" spans="1:25" s="1" customFormat="1" ht="12.75" customHeight="1" x14ac:dyDescent="0.2">
      <c r="A23" s="80"/>
      <c r="B23" s="80"/>
      <c r="C23" s="97" t="s">
        <v>102</v>
      </c>
      <c r="D23" s="81"/>
      <c r="E23" s="81"/>
      <c r="F23" s="81"/>
      <c r="G23" s="103"/>
      <c r="H23" s="104"/>
      <c r="I23" s="104"/>
      <c r="J23" s="104"/>
      <c r="K23" s="104"/>
      <c r="L23" s="104"/>
      <c r="M23" s="104"/>
      <c r="N23" s="105"/>
      <c r="O23" s="80"/>
      <c r="P23" s="105"/>
      <c r="Q23" s="80"/>
      <c r="R23" s="105"/>
      <c r="S23" s="80"/>
      <c r="T23" s="105"/>
      <c r="U23" s="80"/>
      <c r="V23" s="80"/>
      <c r="W23" s="80"/>
      <c r="X23" s="80"/>
      <c r="Y23" s="80"/>
    </row>
    <row r="24" spans="1:25" s="1" customFormat="1" ht="12.75" customHeight="1" x14ac:dyDescent="0.2">
      <c r="A24" s="80"/>
      <c r="B24" s="80"/>
      <c r="C24" s="81"/>
      <c r="D24" s="124" t="s">
        <v>124</v>
      </c>
      <c r="E24" s="81"/>
      <c r="F24" s="200">
        <f>'Assumptions Worksheet'!G22</f>
        <v>30</v>
      </c>
      <c r="G24" s="24">
        <v>10</v>
      </c>
      <c r="H24" s="24">
        <v>10</v>
      </c>
      <c r="I24" s="24">
        <v>10</v>
      </c>
      <c r="J24" s="24">
        <v>10</v>
      </c>
      <c r="K24" s="24">
        <v>10</v>
      </c>
      <c r="L24" s="24">
        <v>10</v>
      </c>
      <c r="M24" s="24">
        <v>10</v>
      </c>
      <c r="N24" s="106">
        <f t="shared" ref="N24:N26" si="6">SUM(G24:M24)</f>
        <v>70</v>
      </c>
      <c r="O24" s="80"/>
      <c r="P24" s="106"/>
      <c r="Q24" s="80"/>
      <c r="R24" s="106"/>
      <c r="S24" s="80"/>
      <c r="T24" s="106"/>
      <c r="U24" s="80"/>
      <c r="V24" s="94">
        <f>N24*'Assumptions Worksheet'!I22*'Assumptions Worksheet'!G22</f>
        <v>525</v>
      </c>
      <c r="W24" s="94">
        <f>N24*'Assumptions Worksheet'!K22*'Assumptions Worksheet'!G22</f>
        <v>84.000000000000014</v>
      </c>
      <c r="X24" s="94">
        <f>N24*'Assumptions Worksheet'!G22*'Assumptions Worksheet'!O22*'Assumptions Worksheet'!$G$27</f>
        <v>0</v>
      </c>
      <c r="Y24" s="80"/>
    </row>
    <row r="25" spans="1:25" s="1" customFormat="1" ht="12.75" customHeight="1" x14ac:dyDescent="0.2">
      <c r="A25" s="80"/>
      <c r="B25" s="80"/>
      <c r="C25" s="81"/>
      <c r="D25" s="124" t="s">
        <v>125</v>
      </c>
      <c r="E25" s="81"/>
      <c r="F25" s="200">
        <f>'Assumptions Worksheet'!G23</f>
        <v>40</v>
      </c>
      <c r="G25" s="24">
        <v>3</v>
      </c>
      <c r="H25" s="24">
        <v>3</v>
      </c>
      <c r="I25" s="24">
        <v>3</v>
      </c>
      <c r="J25" s="24">
        <v>3</v>
      </c>
      <c r="K25" s="24">
        <v>5</v>
      </c>
      <c r="L25" s="24">
        <v>5</v>
      </c>
      <c r="M25" s="24">
        <v>3</v>
      </c>
      <c r="N25" s="99">
        <f t="shared" si="6"/>
        <v>25</v>
      </c>
      <c r="O25" s="80"/>
      <c r="P25" s="99"/>
      <c r="Q25" s="80"/>
      <c r="R25" s="99"/>
      <c r="S25" s="80"/>
      <c r="T25" s="99"/>
      <c r="U25" s="80"/>
      <c r="V25" s="94">
        <f>N25*'Assumptions Worksheet'!I23*'Assumptions Worksheet'!G23</f>
        <v>400</v>
      </c>
      <c r="W25" s="94">
        <f>N25*'Assumptions Worksheet'!K23*'Assumptions Worksheet'!G23</f>
        <v>40</v>
      </c>
      <c r="X25" s="94">
        <f>N25*'Assumptions Worksheet'!G23*'Assumptions Worksheet'!O23*'Assumptions Worksheet'!$G$27</f>
        <v>0</v>
      </c>
      <c r="Y25" s="80"/>
    </row>
    <row r="26" spans="1:25" s="1" customFormat="1" ht="12.75" customHeight="1" x14ac:dyDescent="0.2">
      <c r="A26" s="80"/>
      <c r="B26" s="80"/>
      <c r="C26" s="81"/>
      <c r="D26" s="124" t="s">
        <v>126</v>
      </c>
      <c r="E26" s="81"/>
      <c r="F26" s="200">
        <f>'Assumptions Worksheet'!G24</f>
        <v>10</v>
      </c>
      <c r="G26" s="24">
        <v>0</v>
      </c>
      <c r="H26" s="24"/>
      <c r="I26" s="24"/>
      <c r="J26" s="24"/>
      <c r="K26" s="24"/>
      <c r="L26" s="24"/>
      <c r="M26" s="24"/>
      <c r="N26" s="99">
        <f t="shared" si="6"/>
        <v>0</v>
      </c>
      <c r="O26" s="80"/>
      <c r="P26" s="99"/>
      <c r="Q26" s="80"/>
      <c r="R26" s="99"/>
      <c r="S26" s="80"/>
      <c r="T26" s="99"/>
      <c r="U26" s="80"/>
      <c r="V26" s="94">
        <f>N26*'Assumptions Worksheet'!I24*'Assumptions Worksheet'!G24</f>
        <v>0</v>
      </c>
      <c r="W26" s="94">
        <f>N26*'Assumptions Worksheet'!K24*'Assumptions Worksheet'!G24</f>
        <v>0</v>
      </c>
      <c r="X26" s="94">
        <f>N26*'Assumptions Worksheet'!G24*'Assumptions Worksheet'!O24*'Assumptions Worksheet'!$G$27</f>
        <v>0</v>
      </c>
      <c r="Y26" s="80"/>
    </row>
    <row r="27" spans="1:25" s="1" customFormat="1" ht="18" customHeight="1" x14ac:dyDescent="0.25">
      <c r="A27" s="80"/>
      <c r="B27" s="80"/>
      <c r="C27" s="82"/>
      <c r="D27" s="91" t="s">
        <v>184</v>
      </c>
      <c r="E27" s="80"/>
      <c r="F27" s="80"/>
      <c r="G27" s="92">
        <f>(G24*'Assumptions Worksheet'!$G$22*(1-'Assumptions Worksheet'!$Q$22))+(G25*'Assumptions Worksheet'!$G$23*(1-'Assumptions Worksheet'!$Q$23))+(G26*'Assumptions Worksheet'!$G$24*(1-'Assumptions Worksheet'!$Q$24))</f>
        <v>294</v>
      </c>
      <c r="H27" s="92">
        <f>(H24*'Assumptions Worksheet'!$G$22*(1-'Assumptions Worksheet'!$Q$22))+(H25*'Assumptions Worksheet'!$G$23*(1-'Assumptions Worksheet'!$Q$23))+(H26*'Assumptions Worksheet'!$G$24*(1-'Assumptions Worksheet'!$Q$24))</f>
        <v>294</v>
      </c>
      <c r="I27" s="92">
        <f>(I24*'Assumptions Worksheet'!$G$22*(1-'Assumptions Worksheet'!$Q$22))+(I25*'Assumptions Worksheet'!$G$23*(1-'Assumptions Worksheet'!$Q$23))+(I26*'Assumptions Worksheet'!$G$24*(1-'Assumptions Worksheet'!$Q$24))</f>
        <v>294</v>
      </c>
      <c r="J27" s="92">
        <f>(J24*'Assumptions Worksheet'!$G$22*(1-'Assumptions Worksheet'!$Q$22))+(J25*'Assumptions Worksheet'!$G$23*(1-'Assumptions Worksheet'!$Q$23))+(J26*'Assumptions Worksheet'!$G$24*(1-'Assumptions Worksheet'!$Q$24))</f>
        <v>294</v>
      </c>
      <c r="K27" s="92">
        <f>(K24*'Assumptions Worksheet'!$G$22*(1-'Assumptions Worksheet'!$Q$22))+(K25*'Assumptions Worksheet'!$G$23*(1-'Assumptions Worksheet'!$Q$23))+(K26*'Assumptions Worksheet'!$G$24*(1-'Assumptions Worksheet'!$Q$24))</f>
        <v>350</v>
      </c>
      <c r="L27" s="92">
        <f>(L24*'Assumptions Worksheet'!$G$22*(1-'Assumptions Worksheet'!$Q$22))+(L25*'Assumptions Worksheet'!$G$23*(1-'Assumptions Worksheet'!$Q$23))+(L26*'Assumptions Worksheet'!$G$24*(1-'Assumptions Worksheet'!$Q$24))</f>
        <v>350</v>
      </c>
      <c r="M27" s="92">
        <f>(M24*'Assumptions Worksheet'!$G$22*(1-'Assumptions Worksheet'!$Q$22))+(M25*'Assumptions Worksheet'!$G$23*(1-'Assumptions Worksheet'!$Q$23))+(M26*'Assumptions Worksheet'!$G$24*(1-'Assumptions Worksheet'!$Q$24))</f>
        <v>294</v>
      </c>
      <c r="N27" s="93">
        <f t="shared" ref="N27" si="7">SUM(G27:M27)</f>
        <v>2170</v>
      </c>
      <c r="O27" s="80"/>
      <c r="P27" s="93">
        <f>$N27/7*28</f>
        <v>8680</v>
      </c>
      <c r="Q27" s="80"/>
      <c r="R27" s="93">
        <f>$N27/7*30</f>
        <v>9300</v>
      </c>
      <c r="S27" s="80"/>
      <c r="T27" s="93">
        <f>$N27/7*31</f>
        <v>9610</v>
      </c>
      <c r="U27" s="80"/>
      <c r="V27" s="80"/>
      <c r="W27" s="80"/>
      <c r="X27" s="80"/>
      <c r="Y27" s="80"/>
    </row>
    <row r="28" spans="1:25" s="1" customFormat="1" ht="15.75" customHeight="1" x14ac:dyDescent="0.2">
      <c r="A28" s="80"/>
      <c r="B28" s="107"/>
      <c r="C28" s="107"/>
      <c r="D28" s="108" t="s">
        <v>199</v>
      </c>
      <c r="E28" s="109"/>
      <c r="F28" s="109"/>
      <c r="G28" s="110"/>
      <c r="H28" s="111"/>
      <c r="I28" s="110"/>
      <c r="J28" s="110"/>
      <c r="K28" s="110"/>
      <c r="L28" s="110"/>
      <c r="M28" s="110"/>
      <c r="N28" s="105"/>
      <c r="O28" s="18"/>
      <c r="P28" s="105"/>
      <c r="Q28" s="18"/>
      <c r="R28" s="105"/>
      <c r="S28" s="18"/>
      <c r="T28" s="105"/>
      <c r="U28" s="80"/>
      <c r="V28" s="80"/>
      <c r="W28" s="80"/>
      <c r="X28" s="80"/>
      <c r="Y28" s="80"/>
    </row>
    <row r="29" spans="1:25" s="1" customFormat="1" ht="18" customHeight="1" x14ac:dyDescent="0.25">
      <c r="A29" s="80"/>
      <c r="B29" s="80"/>
      <c r="C29" s="82"/>
      <c r="D29" s="112" t="s">
        <v>185</v>
      </c>
      <c r="E29" s="80"/>
      <c r="F29" s="80"/>
      <c r="G29" s="113">
        <f>G9+G15+G21+G27</f>
        <v>3534</v>
      </c>
      <c r="H29" s="113">
        <f t="shared" ref="H29:M29" si="8">H9+H15+H21+H27</f>
        <v>4344</v>
      </c>
      <c r="I29" s="113">
        <f t="shared" si="8"/>
        <v>3534</v>
      </c>
      <c r="J29" s="113">
        <f t="shared" si="8"/>
        <v>3534</v>
      </c>
      <c r="K29" s="113">
        <f t="shared" si="8"/>
        <v>4470</v>
      </c>
      <c r="L29" s="113">
        <f t="shared" si="8"/>
        <v>4470</v>
      </c>
      <c r="M29" s="113">
        <f t="shared" si="8"/>
        <v>3534</v>
      </c>
      <c r="N29" s="114">
        <f t="shared" ref="N29" si="9">SUM(G29:M29)</f>
        <v>27420</v>
      </c>
      <c r="O29" s="80"/>
      <c r="P29" s="114">
        <f>$N29/7*28</f>
        <v>109680</v>
      </c>
      <c r="Q29" s="80"/>
      <c r="R29" s="114">
        <f>$N29/7*30</f>
        <v>117514.28571428572</v>
      </c>
      <c r="S29" s="80"/>
      <c r="T29" s="114">
        <f>$N29/7*31</f>
        <v>121431.42857142858</v>
      </c>
      <c r="U29" s="80"/>
      <c r="V29" s="115">
        <f>SUM(V9:V26)</f>
        <v>8015</v>
      </c>
      <c r="W29" s="115">
        <f>SUM(W9:W26)</f>
        <v>932.4</v>
      </c>
      <c r="X29" s="115">
        <f>SUM(X9:X26)</f>
        <v>727.26</v>
      </c>
      <c r="Y29" s="80"/>
    </row>
    <row r="30" spans="1:25" s="1" customFormat="1" ht="12.75" customHeight="1" x14ac:dyDescent="0.2">
      <c r="A30" s="80"/>
      <c r="B30" s="80"/>
      <c r="C30" s="80"/>
      <c r="D30" s="80"/>
      <c r="E30" s="18"/>
      <c r="F30" s="18"/>
      <c r="G30" s="110"/>
      <c r="H30" s="105"/>
      <c r="I30" s="105"/>
      <c r="J30" s="105"/>
      <c r="K30" s="105"/>
      <c r="L30" s="105"/>
      <c r="M30" s="105"/>
      <c r="N30" s="105"/>
      <c r="O30" s="18"/>
      <c r="P30" s="80"/>
      <c r="Q30" s="18"/>
      <c r="R30" s="80"/>
      <c r="S30" s="18"/>
      <c r="T30" s="80"/>
      <c r="U30" s="80"/>
      <c r="V30" s="80"/>
      <c r="W30" s="80"/>
      <c r="X30" s="80"/>
      <c r="Y30" s="80"/>
    </row>
    <row r="31" spans="1:25" s="1" customFormat="1" x14ac:dyDescent="0.2">
      <c r="A31" s="80"/>
      <c r="B31" s="80"/>
      <c r="C31" s="80"/>
      <c r="D31" s="80"/>
      <c r="E31" s="18"/>
      <c r="F31" s="18"/>
      <c r="G31" s="80"/>
      <c r="H31" s="80"/>
      <c r="I31" s="80"/>
      <c r="J31" s="80"/>
      <c r="K31" s="80"/>
      <c r="L31" s="80"/>
      <c r="M31" s="80"/>
      <c r="N31" s="80"/>
      <c r="O31" s="18"/>
      <c r="P31" s="80"/>
      <c r="Q31" s="18"/>
      <c r="R31" s="80"/>
      <c r="S31" s="18"/>
      <c r="T31" s="80"/>
      <c r="U31" s="80"/>
      <c r="V31" s="80"/>
      <c r="W31" s="80"/>
      <c r="X31" s="80"/>
      <c r="Y31" s="80"/>
    </row>
    <row r="32" spans="1:25" s="1" customFormat="1" ht="15.75" x14ac:dyDescent="0.25">
      <c r="A32" s="80"/>
      <c r="B32" s="80"/>
      <c r="C32" s="80"/>
      <c r="D32" s="80"/>
      <c r="E32" s="18"/>
      <c r="F32" s="18"/>
      <c r="G32" s="119" t="s">
        <v>173</v>
      </c>
      <c r="H32" s="116"/>
      <c r="I32" s="116"/>
      <c r="J32" s="169" t="s">
        <v>203</v>
      </c>
      <c r="K32" s="80"/>
      <c r="L32" s="169" t="s">
        <v>204</v>
      </c>
      <c r="M32" s="80"/>
      <c r="N32" s="169" t="s">
        <v>205</v>
      </c>
      <c r="U32" s="80"/>
      <c r="V32" s="80"/>
      <c r="W32" s="80"/>
      <c r="X32" s="80"/>
      <c r="Y32" s="80"/>
    </row>
    <row r="33" spans="1:25" s="1" customFormat="1" x14ac:dyDescent="0.2">
      <c r="A33" s="80"/>
      <c r="B33" s="80"/>
      <c r="C33" s="80"/>
      <c r="D33" s="80"/>
      <c r="E33" s="18"/>
      <c r="F33" s="18"/>
      <c r="G33" s="116"/>
      <c r="H33" s="116" t="s">
        <v>174</v>
      </c>
      <c r="I33" s="116"/>
      <c r="J33" s="120">
        <f>P9</f>
        <v>20160</v>
      </c>
      <c r="K33" s="80"/>
      <c r="L33" s="120">
        <f>R9</f>
        <v>21600</v>
      </c>
      <c r="M33" s="80"/>
      <c r="N33" s="120">
        <f>T9</f>
        <v>22320</v>
      </c>
      <c r="U33" s="80"/>
      <c r="V33" s="80"/>
      <c r="W33" s="80"/>
      <c r="X33" s="80"/>
      <c r="Y33" s="80"/>
    </row>
    <row r="34" spans="1:25" s="1" customFormat="1" x14ac:dyDescent="0.2">
      <c r="A34" s="80"/>
      <c r="B34" s="80"/>
      <c r="C34" s="80"/>
      <c r="D34" s="80"/>
      <c r="E34" s="18"/>
      <c r="F34" s="18"/>
      <c r="G34" s="116"/>
      <c r="H34" s="116" t="s">
        <v>175</v>
      </c>
      <c r="I34" s="116"/>
      <c r="J34" s="120">
        <f>P15</f>
        <v>59999.999999999993</v>
      </c>
      <c r="K34" s="80"/>
      <c r="L34" s="120">
        <f>R15</f>
        <v>64285.714285714283</v>
      </c>
      <c r="M34" s="80"/>
      <c r="N34" s="120">
        <f>T15</f>
        <v>66428.57142857142</v>
      </c>
      <c r="U34" s="80"/>
      <c r="V34" s="80"/>
      <c r="W34" s="80"/>
      <c r="X34" s="80"/>
      <c r="Y34" s="80"/>
    </row>
    <row r="35" spans="1:25" s="1" customFormat="1" x14ac:dyDescent="0.2">
      <c r="A35" s="80"/>
      <c r="B35" s="80"/>
      <c r="C35" s="80"/>
      <c r="D35" s="80"/>
      <c r="E35" s="18"/>
      <c r="F35" s="18"/>
      <c r="G35" s="116"/>
      <c r="H35" s="116" t="s">
        <v>176</v>
      </c>
      <c r="I35" s="116"/>
      <c r="J35" s="120">
        <f>P21</f>
        <v>20840</v>
      </c>
      <c r="K35" s="80"/>
      <c r="L35" s="120">
        <f>R21</f>
        <v>22328.571428571431</v>
      </c>
      <c r="M35" s="80"/>
      <c r="N35" s="120">
        <f>T21</f>
        <v>23072.857142857145</v>
      </c>
      <c r="U35" s="80"/>
      <c r="V35" s="80"/>
      <c r="W35" s="80"/>
      <c r="X35" s="80"/>
      <c r="Y35" s="80"/>
    </row>
    <row r="36" spans="1:25" s="1" customFormat="1" x14ac:dyDescent="0.2">
      <c r="A36" s="80"/>
      <c r="B36" s="80"/>
      <c r="C36" s="80"/>
      <c r="D36" s="80"/>
      <c r="E36" s="18"/>
      <c r="F36" s="18"/>
      <c r="G36" s="116"/>
      <c r="H36" s="116" t="s">
        <v>177</v>
      </c>
      <c r="I36" s="116"/>
      <c r="J36" s="120">
        <f>P27</f>
        <v>8680</v>
      </c>
      <c r="K36" s="80"/>
      <c r="L36" s="120">
        <f>R27</f>
        <v>9300</v>
      </c>
      <c r="M36" s="80"/>
      <c r="N36" s="120">
        <f>T27</f>
        <v>9610</v>
      </c>
      <c r="U36" s="80"/>
      <c r="V36" s="80"/>
      <c r="W36" s="80"/>
      <c r="X36" s="80"/>
      <c r="Y36" s="80"/>
    </row>
    <row r="37" spans="1:25" s="1" customFormat="1" x14ac:dyDescent="0.2">
      <c r="A37" s="80"/>
      <c r="B37" s="80"/>
      <c r="C37" s="80"/>
      <c r="D37" s="80"/>
      <c r="E37" s="18"/>
      <c r="F37" s="18"/>
      <c r="G37" s="80"/>
      <c r="H37" s="80"/>
      <c r="I37" s="18"/>
      <c r="J37" s="80"/>
      <c r="K37" s="18"/>
      <c r="L37" s="80"/>
      <c r="M37" s="18"/>
      <c r="N37" s="80"/>
      <c r="U37" s="80"/>
      <c r="V37" s="80"/>
      <c r="W37" s="80"/>
      <c r="X37" s="80"/>
      <c r="Y37" s="80"/>
    </row>
    <row r="38" spans="1:25" s="1" customFormat="1" ht="15.75" x14ac:dyDescent="0.2">
      <c r="A38" s="80"/>
      <c r="B38" s="80"/>
      <c r="C38" s="80"/>
      <c r="D38" s="80"/>
      <c r="E38" s="18"/>
      <c r="F38" s="18"/>
      <c r="G38" s="121" t="s">
        <v>129</v>
      </c>
      <c r="H38" s="116"/>
      <c r="I38" s="18"/>
      <c r="J38" s="80"/>
      <c r="K38" s="18"/>
      <c r="L38" s="80"/>
      <c r="M38" s="18"/>
      <c r="N38" s="80"/>
      <c r="U38" s="80"/>
      <c r="V38" s="80"/>
      <c r="W38" s="80"/>
      <c r="X38" s="80"/>
      <c r="Y38" s="80"/>
    </row>
    <row r="39" spans="1:25" s="1" customFormat="1" x14ac:dyDescent="0.2">
      <c r="A39" s="80"/>
      <c r="B39" s="80"/>
      <c r="C39" s="80"/>
      <c r="D39" s="80"/>
      <c r="E39" s="18"/>
      <c r="F39" s="18"/>
      <c r="G39" s="116"/>
      <c r="H39" s="116" t="s">
        <v>206</v>
      </c>
      <c r="I39" s="18"/>
      <c r="J39" s="122">
        <f>$V$29/$N$29</f>
        <v>0.29230488694383661</v>
      </c>
      <c r="K39" s="123"/>
      <c r="L39" s="122">
        <f>$V$29/$N$29</f>
        <v>0.29230488694383661</v>
      </c>
      <c r="M39" s="123"/>
      <c r="N39" s="122">
        <f>$V$29/$N$29</f>
        <v>0.29230488694383661</v>
      </c>
      <c r="U39" s="80"/>
      <c r="V39" s="80"/>
      <c r="W39" s="80"/>
      <c r="X39" s="80"/>
      <c r="Y39" s="80"/>
    </row>
    <row r="40" spans="1:25" s="1" customFormat="1" x14ac:dyDescent="0.2">
      <c r="A40" s="80"/>
      <c r="B40" s="80"/>
      <c r="C40" s="80"/>
      <c r="D40" s="80"/>
      <c r="E40" s="18"/>
      <c r="F40" s="18"/>
      <c r="G40" s="116"/>
      <c r="H40" s="116" t="s">
        <v>207</v>
      </c>
      <c r="I40" s="18"/>
      <c r="J40" s="122">
        <f>$W$29/$N$29</f>
        <v>3.4004376367614879E-2</v>
      </c>
      <c r="K40" s="123"/>
      <c r="L40" s="122">
        <f>$W$29/$N$29</f>
        <v>3.4004376367614879E-2</v>
      </c>
      <c r="M40" s="123"/>
      <c r="N40" s="122">
        <f>$W$29/$N$29</f>
        <v>3.4004376367614879E-2</v>
      </c>
      <c r="U40" s="80"/>
      <c r="V40" s="80"/>
      <c r="W40" s="80"/>
      <c r="X40" s="80"/>
      <c r="Y40" s="80"/>
    </row>
    <row r="41" spans="1:25" s="1" customFormat="1" x14ac:dyDescent="0.2">
      <c r="A41" s="80"/>
      <c r="B41" s="80"/>
      <c r="C41" s="80"/>
      <c r="D41" s="80"/>
      <c r="E41" s="18"/>
      <c r="F41" s="18"/>
      <c r="G41" s="80"/>
      <c r="H41" s="116" t="s">
        <v>208</v>
      </c>
      <c r="I41" s="18"/>
      <c r="J41" s="120">
        <f>$X$29/$N$29*P29</f>
        <v>2909.04</v>
      </c>
      <c r="K41" s="18"/>
      <c r="L41" s="120">
        <f>$X$29/$N$29*R29</f>
        <v>3116.8285714285716</v>
      </c>
      <c r="M41" s="18"/>
      <c r="N41" s="120">
        <f>$X$29/$N$29*T29</f>
        <v>3220.7228571428577</v>
      </c>
      <c r="U41" s="80"/>
      <c r="V41" s="80"/>
      <c r="W41" s="80"/>
      <c r="X41" s="80"/>
      <c r="Y41" s="80"/>
    </row>
    <row r="42" spans="1:25" s="1" customFormat="1" x14ac:dyDescent="0.2">
      <c r="A42" s="80"/>
      <c r="B42" s="80"/>
      <c r="C42" s="80"/>
      <c r="D42" s="80"/>
      <c r="E42" s="18"/>
      <c r="F42" s="18"/>
      <c r="G42" s="80"/>
      <c r="H42" s="80"/>
      <c r="I42" s="18"/>
      <c r="J42" s="80"/>
      <c r="K42" s="18"/>
      <c r="L42" s="80"/>
      <c r="M42" s="18"/>
      <c r="N42" s="80"/>
      <c r="U42" s="80"/>
      <c r="V42" s="80"/>
      <c r="W42" s="80"/>
      <c r="X42" s="80"/>
      <c r="Y42" s="80"/>
    </row>
    <row r="43" spans="1:25" s="1" customFormat="1" x14ac:dyDescent="0.2">
      <c r="A43" s="80"/>
      <c r="B43" s="80"/>
      <c r="C43" s="80"/>
      <c r="D43" s="80"/>
      <c r="E43" s="18"/>
      <c r="F43" s="18"/>
      <c r="G43" s="107"/>
      <c r="H43" s="107"/>
      <c r="I43" s="107"/>
      <c r="J43" s="107"/>
      <c r="K43" s="107"/>
      <c r="L43" s="107"/>
      <c r="U43" s="80"/>
      <c r="V43" s="80"/>
      <c r="W43" s="80"/>
      <c r="X43" s="80"/>
      <c r="Y43" s="80"/>
    </row>
    <row r="44" spans="1:25" s="1" customFormat="1" x14ac:dyDescent="0.2">
      <c r="A44" s="80"/>
      <c r="B44" s="80"/>
      <c r="C44" s="80"/>
      <c r="D44" s="80"/>
      <c r="E44" s="18"/>
      <c r="F44" s="18"/>
      <c r="G44" s="107"/>
      <c r="H44" s="107"/>
      <c r="I44" s="107"/>
      <c r="J44" s="107"/>
      <c r="K44" s="107"/>
      <c r="L44" s="107"/>
      <c r="M44" s="80"/>
      <c r="N44" s="80"/>
      <c r="O44" s="18"/>
      <c r="P44" s="80"/>
      <c r="Q44" s="18"/>
      <c r="R44" s="80"/>
      <c r="S44" s="18"/>
      <c r="T44" s="80"/>
      <c r="U44" s="80"/>
      <c r="V44" s="80"/>
      <c r="W44" s="80"/>
      <c r="X44" s="80"/>
      <c r="Y44" s="80"/>
    </row>
    <row r="45" spans="1:25" s="1" customFormat="1" x14ac:dyDescent="0.2">
      <c r="A45" s="80"/>
      <c r="B45" s="80"/>
      <c r="C45" s="80"/>
      <c r="D45" s="80"/>
      <c r="E45" s="18"/>
      <c r="F45" s="18"/>
      <c r="G45" s="107"/>
      <c r="H45" s="107"/>
      <c r="I45" s="107"/>
      <c r="J45" s="107"/>
      <c r="K45" s="107"/>
      <c r="L45" s="107"/>
      <c r="M45" s="105"/>
      <c r="N45" s="105"/>
      <c r="O45" s="18"/>
      <c r="P45" s="80"/>
      <c r="Q45" s="18"/>
      <c r="R45" s="80"/>
      <c r="S45" s="18"/>
      <c r="T45" s="80"/>
      <c r="U45" s="80"/>
      <c r="V45" s="80"/>
      <c r="W45" s="80"/>
      <c r="X45" s="80"/>
      <c r="Y45" s="80"/>
    </row>
    <row r="46" spans="1:25" s="1" customFormat="1" x14ac:dyDescent="0.2">
      <c r="E46" s="73"/>
      <c r="F46" s="73"/>
      <c r="G46" s="13"/>
      <c r="H46" s="13"/>
      <c r="I46" s="13"/>
      <c r="J46" s="13"/>
      <c r="K46" s="13"/>
      <c r="L46" s="13"/>
      <c r="M46" s="72"/>
      <c r="N46" s="72"/>
      <c r="O46" s="73"/>
      <c r="Q46" s="73"/>
      <c r="S46" s="73"/>
    </row>
    <row r="47" spans="1:25" s="1" customFormat="1" x14ac:dyDescent="0.2">
      <c r="E47" s="73"/>
      <c r="F47" s="73"/>
      <c r="G47" s="13"/>
      <c r="H47" s="13"/>
      <c r="I47" s="13"/>
      <c r="J47" s="13"/>
      <c r="K47" s="13"/>
      <c r="L47" s="13"/>
      <c r="N47" s="72"/>
      <c r="O47" s="73"/>
      <c r="Q47" s="73"/>
      <c r="S47" s="73"/>
    </row>
    <row r="48" spans="1:25" s="1" customFormat="1" x14ac:dyDescent="0.2">
      <c r="E48" s="73"/>
      <c r="F48" s="73"/>
      <c r="G48" s="13"/>
      <c r="H48" s="13"/>
      <c r="I48" s="13"/>
      <c r="J48" s="13"/>
      <c r="K48" s="13"/>
      <c r="L48" s="13"/>
      <c r="M48" s="72"/>
      <c r="N48" s="72"/>
      <c r="O48" s="73"/>
      <c r="Q48" s="73"/>
      <c r="S48" s="73"/>
    </row>
    <row r="49" spans="5:19" s="1" customFormat="1" x14ac:dyDescent="0.2">
      <c r="E49" s="73"/>
      <c r="F49" s="73"/>
      <c r="G49" s="13"/>
      <c r="H49" s="13"/>
      <c r="I49" s="13"/>
      <c r="J49" s="13"/>
      <c r="K49" s="13"/>
      <c r="L49" s="13"/>
      <c r="M49" s="72"/>
      <c r="N49" s="72"/>
      <c r="O49" s="73"/>
      <c r="Q49" s="73"/>
      <c r="S49" s="73"/>
    </row>
    <row r="50" spans="5:19" s="1" customFormat="1" x14ac:dyDescent="0.2">
      <c r="E50" s="73"/>
      <c r="F50" s="73"/>
      <c r="G50" s="13"/>
      <c r="H50" s="13"/>
      <c r="I50" s="13"/>
      <c r="J50" s="13"/>
      <c r="K50" s="13"/>
      <c r="L50" s="13"/>
      <c r="M50" s="72"/>
      <c r="N50" s="72"/>
      <c r="O50" s="73"/>
      <c r="Q50" s="73"/>
      <c r="S50" s="73"/>
    </row>
    <row r="51" spans="5:19" s="13" customFormat="1" x14ac:dyDescent="0.2"/>
    <row r="52" spans="5:19" s="13" customFormat="1" x14ac:dyDescent="0.2"/>
    <row r="53" spans="5:19" s="13" customFormat="1" x14ac:dyDescent="0.2"/>
    <row r="54" spans="5:19" s="13" customFormat="1" x14ac:dyDescent="0.2"/>
    <row r="55" spans="5:19" s="13" customFormat="1" x14ac:dyDescent="0.2"/>
    <row r="56" spans="5:19" s="13" customFormat="1" x14ac:dyDescent="0.2"/>
    <row r="57" spans="5:19" s="13" customFormat="1" x14ac:dyDescent="0.2"/>
    <row r="58" spans="5:19" s="13" customFormat="1" x14ac:dyDescent="0.2"/>
    <row r="59" spans="5:19" s="13" customFormat="1" x14ac:dyDescent="0.2"/>
    <row r="60" spans="5:19" s="13" customFormat="1" x14ac:dyDescent="0.2"/>
    <row r="61" spans="5:19" s="13" customFormat="1" x14ac:dyDescent="0.2"/>
    <row r="62" spans="5:19" s="13" customFormat="1" x14ac:dyDescent="0.2"/>
    <row r="63" spans="5:19" s="13" customFormat="1" x14ac:dyDescent="0.2"/>
    <row r="64" spans="5:19" s="13" customFormat="1" x14ac:dyDescent="0.2"/>
    <row r="65" s="13" customFormat="1" x14ac:dyDescent="0.2"/>
    <row r="66" s="13" customFormat="1" x14ac:dyDescent="0.2"/>
    <row r="67" s="13" customFormat="1" x14ac:dyDescent="0.2"/>
    <row r="68" s="13" customFormat="1" x14ac:dyDescent="0.2"/>
    <row r="69" s="13" customFormat="1" x14ac:dyDescent="0.2"/>
    <row r="70" s="13" customFormat="1" x14ac:dyDescent="0.2"/>
    <row r="71" s="13" customFormat="1" x14ac:dyDescent="0.2"/>
    <row r="72" s="13" customFormat="1" x14ac:dyDescent="0.2"/>
    <row r="73" s="13" customFormat="1" x14ac:dyDescent="0.2"/>
    <row r="74" s="13" customFormat="1" x14ac:dyDescent="0.2"/>
    <row r="75" s="13" customFormat="1" x14ac:dyDescent="0.2"/>
    <row r="76" s="13" customFormat="1" x14ac:dyDescent="0.2"/>
    <row r="77" s="13" customFormat="1" x14ac:dyDescent="0.2"/>
    <row r="78" s="13" customFormat="1" x14ac:dyDescent="0.2"/>
    <row r="79" s="13" customFormat="1" x14ac:dyDescent="0.2"/>
    <row r="80" s="13" customFormat="1" x14ac:dyDescent="0.2"/>
    <row r="81" s="13" customFormat="1" x14ac:dyDescent="0.2"/>
    <row r="82" s="13" customFormat="1" x14ac:dyDescent="0.2"/>
    <row r="83" s="13" customFormat="1" x14ac:dyDescent="0.2"/>
    <row r="84" s="13" customFormat="1" x14ac:dyDescent="0.2"/>
    <row r="85" s="13" customFormat="1" x14ac:dyDescent="0.2"/>
    <row r="86" s="13" customFormat="1" x14ac:dyDescent="0.2"/>
    <row r="87" s="13" customFormat="1" x14ac:dyDescent="0.2"/>
    <row r="88" s="13" customFormat="1" x14ac:dyDescent="0.2"/>
    <row r="89" s="13" customFormat="1" x14ac:dyDescent="0.2"/>
    <row r="90" s="13" customFormat="1" x14ac:dyDescent="0.2"/>
    <row r="91" s="13" customFormat="1" x14ac:dyDescent="0.2"/>
    <row r="92" s="13" customFormat="1" x14ac:dyDescent="0.2"/>
    <row r="93" s="13" customFormat="1" x14ac:dyDescent="0.2"/>
    <row r="94" s="13" customFormat="1" x14ac:dyDescent="0.2"/>
    <row r="95" s="13" customFormat="1" x14ac:dyDescent="0.2"/>
    <row r="96" s="13" customFormat="1" x14ac:dyDescent="0.2"/>
    <row r="97" s="13" customFormat="1" x14ac:dyDescent="0.2"/>
    <row r="98" s="13" customFormat="1" x14ac:dyDescent="0.2"/>
    <row r="99" s="13" customFormat="1" x14ac:dyDescent="0.2"/>
    <row r="100" s="13" customFormat="1" x14ac:dyDescent="0.2"/>
    <row r="101" s="13" customFormat="1" x14ac:dyDescent="0.2"/>
    <row r="102" s="13" customFormat="1" x14ac:dyDescent="0.2"/>
    <row r="103" s="13" customFormat="1" x14ac:dyDescent="0.2"/>
    <row r="104" s="13" customFormat="1" x14ac:dyDescent="0.2"/>
    <row r="105" s="13" customFormat="1" x14ac:dyDescent="0.2"/>
    <row r="106" s="13" customFormat="1" x14ac:dyDescent="0.2"/>
    <row r="107" s="13" customFormat="1" x14ac:dyDescent="0.2"/>
    <row r="108" s="13" customFormat="1" x14ac:dyDescent="0.2"/>
    <row r="109" s="13" customFormat="1" x14ac:dyDescent="0.2"/>
    <row r="110" s="13" customFormat="1" x14ac:dyDescent="0.2"/>
    <row r="111" s="13" customFormat="1" x14ac:dyDescent="0.2"/>
    <row r="112" s="13" customFormat="1" x14ac:dyDescent="0.2"/>
    <row r="113" s="13" customFormat="1" x14ac:dyDescent="0.2"/>
    <row r="114" s="13" customFormat="1" x14ac:dyDescent="0.2"/>
    <row r="115" s="13" customFormat="1" x14ac:dyDescent="0.2"/>
    <row r="116" s="13" customFormat="1" x14ac:dyDescent="0.2"/>
    <row r="117" s="13" customFormat="1" x14ac:dyDescent="0.2"/>
    <row r="118" s="13" customFormat="1" x14ac:dyDescent="0.2"/>
    <row r="119" s="13" customFormat="1" x14ac:dyDescent="0.2"/>
    <row r="120" s="13" customFormat="1" x14ac:dyDescent="0.2"/>
    <row r="121" s="13" customFormat="1" x14ac:dyDescent="0.2"/>
    <row r="122" s="13" customFormat="1" x14ac:dyDescent="0.2"/>
    <row r="123" s="13" customFormat="1" x14ac:dyDescent="0.2"/>
    <row r="124" s="13" customFormat="1" x14ac:dyDescent="0.2"/>
    <row r="125" s="13" customFormat="1" x14ac:dyDescent="0.2"/>
    <row r="126" s="13" customFormat="1" x14ac:dyDescent="0.2"/>
    <row r="127" s="13" customFormat="1" x14ac:dyDescent="0.2"/>
    <row r="128" s="13" customFormat="1" x14ac:dyDescent="0.2"/>
    <row r="129" s="13" customFormat="1" x14ac:dyDescent="0.2"/>
    <row r="130" s="13" customFormat="1" x14ac:dyDescent="0.2"/>
    <row r="131" s="13" customFormat="1" x14ac:dyDescent="0.2"/>
    <row r="132" s="13" customFormat="1" x14ac:dyDescent="0.2"/>
    <row r="133" s="13" customFormat="1" x14ac:dyDescent="0.2"/>
    <row r="134" s="13" customFormat="1" x14ac:dyDescent="0.2"/>
    <row r="135" s="13" customFormat="1" x14ac:dyDescent="0.2"/>
    <row r="136" s="13" customFormat="1" x14ac:dyDescent="0.2"/>
    <row r="137" s="13" customFormat="1" x14ac:dyDescent="0.2"/>
    <row r="138" s="13" customFormat="1" x14ac:dyDescent="0.2"/>
    <row r="139" s="13" customFormat="1" x14ac:dyDescent="0.2"/>
    <row r="140" s="13" customFormat="1" x14ac:dyDescent="0.2"/>
    <row r="141" s="13" customFormat="1" x14ac:dyDescent="0.2"/>
    <row r="142" s="13" customFormat="1" x14ac:dyDescent="0.2"/>
    <row r="143" s="13" customFormat="1" x14ac:dyDescent="0.2"/>
    <row r="144" s="13" customFormat="1" x14ac:dyDescent="0.2"/>
    <row r="145" s="13" customFormat="1" x14ac:dyDescent="0.2"/>
    <row r="146" s="13" customFormat="1" x14ac:dyDescent="0.2"/>
    <row r="147" s="13" customFormat="1" x14ac:dyDescent="0.2"/>
    <row r="148" s="13" customFormat="1" x14ac:dyDescent="0.2"/>
    <row r="149" s="13" customFormat="1" x14ac:dyDescent="0.2"/>
    <row r="150" s="13" customFormat="1" x14ac:dyDescent="0.2"/>
    <row r="151" s="13" customFormat="1" x14ac:dyDescent="0.2"/>
    <row r="152" s="13" customFormat="1" x14ac:dyDescent="0.2"/>
    <row r="153" s="13" customFormat="1" x14ac:dyDescent="0.2"/>
    <row r="154" s="13" customFormat="1" x14ac:dyDescent="0.2"/>
    <row r="155" s="13" customFormat="1" x14ac:dyDescent="0.2"/>
    <row r="156" s="13" customFormat="1" x14ac:dyDescent="0.2"/>
    <row r="157" s="13" customFormat="1" x14ac:dyDescent="0.2"/>
    <row r="158" s="13" customFormat="1" x14ac:dyDescent="0.2"/>
    <row r="159" s="13" customFormat="1" x14ac:dyDescent="0.2"/>
    <row r="160" s="13" customFormat="1" x14ac:dyDescent="0.2"/>
    <row r="161" s="13" customFormat="1" x14ac:dyDescent="0.2"/>
    <row r="162" s="13" customFormat="1" x14ac:dyDescent="0.2"/>
    <row r="163" s="13" customFormat="1" x14ac:dyDescent="0.2"/>
    <row r="164" s="13" customFormat="1" x14ac:dyDescent="0.2"/>
    <row r="165" s="13" customFormat="1" x14ac:dyDescent="0.2"/>
    <row r="166" s="13" customFormat="1" x14ac:dyDescent="0.2"/>
    <row r="167" s="13" customFormat="1" x14ac:dyDescent="0.2"/>
    <row r="168" s="13" customFormat="1" x14ac:dyDescent="0.2"/>
    <row r="169" s="13" customFormat="1" x14ac:dyDescent="0.2"/>
    <row r="170" s="13" customFormat="1" x14ac:dyDescent="0.2"/>
    <row r="171" s="13" customFormat="1" x14ac:dyDescent="0.2"/>
    <row r="172" s="13" customFormat="1" x14ac:dyDescent="0.2"/>
    <row r="173" s="13" customFormat="1" x14ac:dyDescent="0.2"/>
    <row r="174" s="13" customFormat="1" x14ac:dyDescent="0.2"/>
    <row r="175" s="13" customFormat="1" x14ac:dyDescent="0.2"/>
    <row r="176" s="13" customFormat="1" x14ac:dyDescent="0.2"/>
    <row r="177" s="13" customFormat="1" x14ac:dyDescent="0.2"/>
    <row r="178" s="13" customFormat="1" x14ac:dyDescent="0.2"/>
    <row r="179" s="13" customFormat="1" x14ac:dyDescent="0.2"/>
    <row r="180" s="13" customFormat="1" x14ac:dyDescent="0.2"/>
    <row r="181" s="13" customFormat="1" x14ac:dyDescent="0.2"/>
    <row r="182" s="13" customFormat="1" x14ac:dyDescent="0.2"/>
    <row r="183" s="13" customFormat="1" x14ac:dyDescent="0.2"/>
    <row r="184" s="13" customFormat="1" x14ac:dyDescent="0.2"/>
    <row r="185" s="13" customFormat="1" x14ac:dyDescent="0.2"/>
    <row r="186" s="13" customFormat="1" x14ac:dyDescent="0.2"/>
    <row r="187" s="13" customFormat="1" x14ac:dyDescent="0.2"/>
    <row r="188" s="13" customFormat="1" x14ac:dyDescent="0.2"/>
    <row r="189" s="13" customFormat="1" x14ac:dyDescent="0.2"/>
    <row r="190" s="13" customFormat="1" x14ac:dyDescent="0.2"/>
    <row r="191" s="13" customFormat="1" x14ac:dyDescent="0.2"/>
    <row r="192" s="13" customFormat="1" x14ac:dyDescent="0.2"/>
    <row r="193" s="13" customFormat="1" x14ac:dyDescent="0.2"/>
    <row r="194" s="13" customFormat="1" x14ac:dyDescent="0.2"/>
    <row r="195" s="13" customFormat="1" x14ac:dyDescent="0.2"/>
    <row r="196" s="13" customFormat="1" x14ac:dyDescent="0.2"/>
    <row r="197" s="13" customFormat="1" x14ac:dyDescent="0.2"/>
    <row r="198" s="13" customFormat="1" x14ac:dyDescent="0.2"/>
    <row r="199" s="13" customFormat="1" x14ac:dyDescent="0.2"/>
    <row r="200" s="13" customFormat="1" x14ac:dyDescent="0.2"/>
    <row r="201" s="13" customFormat="1" x14ac:dyDescent="0.2"/>
    <row r="202" s="13" customFormat="1" x14ac:dyDescent="0.2"/>
    <row r="203" s="13" customFormat="1" x14ac:dyDescent="0.2"/>
    <row r="204" s="13" customFormat="1" x14ac:dyDescent="0.2"/>
    <row r="205" s="13" customFormat="1" x14ac:dyDescent="0.2"/>
    <row r="206" s="13" customFormat="1" x14ac:dyDescent="0.2"/>
    <row r="207" s="13" customFormat="1" x14ac:dyDescent="0.2"/>
    <row r="208" s="13" customFormat="1" x14ac:dyDescent="0.2"/>
    <row r="209" s="13" customFormat="1" x14ac:dyDescent="0.2"/>
    <row r="210" s="13" customFormat="1" x14ac:dyDescent="0.2"/>
    <row r="211" s="13" customFormat="1" x14ac:dyDescent="0.2"/>
    <row r="212" s="13" customFormat="1" x14ac:dyDescent="0.2"/>
    <row r="213" s="13" customFormat="1" x14ac:dyDescent="0.2"/>
    <row r="214" s="13" customFormat="1" x14ac:dyDescent="0.2"/>
    <row r="215" s="13" customFormat="1" x14ac:dyDescent="0.2"/>
    <row r="216" s="13" customFormat="1" x14ac:dyDescent="0.2"/>
    <row r="217" s="13" customFormat="1" x14ac:dyDescent="0.2"/>
    <row r="218" s="13" customFormat="1" x14ac:dyDescent="0.2"/>
    <row r="219" s="13" customFormat="1" x14ac:dyDescent="0.2"/>
    <row r="220" s="13" customFormat="1" x14ac:dyDescent="0.2"/>
    <row r="221" s="13" customFormat="1" x14ac:dyDescent="0.2"/>
    <row r="222" s="13" customFormat="1" x14ac:dyDescent="0.2"/>
    <row r="223" s="13" customFormat="1" x14ac:dyDescent="0.2"/>
    <row r="224" s="13" customFormat="1" x14ac:dyDescent="0.2"/>
    <row r="225" s="13" customFormat="1" x14ac:dyDescent="0.2"/>
    <row r="226" s="13" customFormat="1" x14ac:dyDescent="0.2"/>
    <row r="227" s="13" customFormat="1" x14ac:dyDescent="0.2"/>
    <row r="228" s="13" customFormat="1" x14ac:dyDescent="0.2"/>
    <row r="229" s="13" customFormat="1" x14ac:dyDescent="0.2"/>
    <row r="230" s="13" customFormat="1" x14ac:dyDescent="0.2"/>
    <row r="231" s="13" customFormat="1" x14ac:dyDescent="0.2"/>
    <row r="232" s="13" customFormat="1" x14ac:dyDescent="0.2"/>
    <row r="233" s="13" customFormat="1" x14ac:dyDescent="0.2"/>
    <row r="234" s="13" customFormat="1" x14ac:dyDescent="0.2"/>
    <row r="235" s="13" customFormat="1" x14ac:dyDescent="0.2"/>
    <row r="236" s="13" customFormat="1" x14ac:dyDescent="0.2"/>
    <row r="237" s="13" customFormat="1" x14ac:dyDescent="0.2"/>
    <row r="238" s="13" customFormat="1" x14ac:dyDescent="0.2"/>
    <row r="239" s="13" customFormat="1" x14ac:dyDescent="0.2"/>
    <row r="240" s="13" customFormat="1" x14ac:dyDescent="0.2"/>
    <row r="241" s="13" customFormat="1" x14ac:dyDescent="0.2"/>
    <row r="242" s="13" customFormat="1" x14ac:dyDescent="0.2"/>
    <row r="243" s="13" customFormat="1" x14ac:dyDescent="0.2"/>
    <row r="244" s="13" customFormat="1" x14ac:dyDescent="0.2"/>
    <row r="245" s="13" customFormat="1" x14ac:dyDescent="0.2"/>
    <row r="246" s="13" customFormat="1" x14ac:dyDescent="0.2"/>
    <row r="247" s="13" customFormat="1" x14ac:dyDescent="0.2"/>
    <row r="248" s="13" customFormat="1" x14ac:dyDescent="0.2"/>
    <row r="249" s="13" customFormat="1" x14ac:dyDescent="0.2"/>
    <row r="250" s="13" customFormat="1" x14ac:dyDescent="0.2"/>
    <row r="251" s="13" customFormat="1" x14ac:dyDescent="0.2"/>
    <row r="252" s="13" customFormat="1" x14ac:dyDescent="0.2"/>
    <row r="253" s="13" customFormat="1" x14ac:dyDescent="0.2"/>
    <row r="254" s="13" customFormat="1" x14ac:dyDescent="0.2"/>
    <row r="255" s="13" customFormat="1" x14ac:dyDescent="0.2"/>
    <row r="256" s="13" customFormat="1" x14ac:dyDescent="0.2"/>
    <row r="257" s="13" customFormat="1" x14ac:dyDescent="0.2"/>
    <row r="258" s="13" customFormat="1" x14ac:dyDescent="0.2"/>
    <row r="259" s="13" customFormat="1" x14ac:dyDescent="0.2"/>
    <row r="260" s="13" customFormat="1" x14ac:dyDescent="0.2"/>
    <row r="261" s="13" customFormat="1" x14ac:dyDescent="0.2"/>
    <row r="262" s="13" customFormat="1" x14ac:dyDescent="0.2"/>
    <row r="263" s="13" customFormat="1" x14ac:dyDescent="0.2"/>
    <row r="264" s="13" customFormat="1" x14ac:dyDescent="0.2"/>
    <row r="265" s="13" customFormat="1" x14ac:dyDescent="0.2"/>
    <row r="266" s="13" customFormat="1" x14ac:dyDescent="0.2"/>
    <row r="267" s="13" customFormat="1" x14ac:dyDescent="0.2"/>
    <row r="268" s="13" customFormat="1" x14ac:dyDescent="0.2"/>
    <row r="269" s="13" customFormat="1" x14ac:dyDescent="0.2"/>
    <row r="270" s="13" customFormat="1" x14ac:dyDescent="0.2"/>
    <row r="271" s="13" customFormat="1" x14ac:dyDescent="0.2"/>
    <row r="272" s="13" customFormat="1" x14ac:dyDescent="0.2"/>
    <row r="273" s="13" customFormat="1" x14ac:dyDescent="0.2"/>
    <row r="274" s="13" customFormat="1" x14ac:dyDescent="0.2"/>
    <row r="275" s="13" customFormat="1" x14ac:dyDescent="0.2"/>
    <row r="276" s="13" customFormat="1" x14ac:dyDescent="0.2"/>
    <row r="277" s="13" customFormat="1" x14ac:dyDescent="0.2"/>
    <row r="278" s="13" customFormat="1" x14ac:dyDescent="0.2"/>
    <row r="279" s="13" customFormat="1" x14ac:dyDescent="0.2"/>
    <row r="280" s="13" customFormat="1" x14ac:dyDescent="0.2"/>
    <row r="281" s="13" customFormat="1" x14ac:dyDescent="0.2"/>
    <row r="282" s="13" customFormat="1" x14ac:dyDescent="0.2"/>
    <row r="283" s="13" customFormat="1" x14ac:dyDescent="0.2"/>
    <row r="284" s="13" customFormat="1" x14ac:dyDescent="0.2"/>
    <row r="285" s="13" customFormat="1" x14ac:dyDescent="0.2"/>
    <row r="286" s="13" customFormat="1" x14ac:dyDescent="0.2"/>
    <row r="287" s="13" customFormat="1" x14ac:dyDescent="0.2"/>
    <row r="288" s="13" customFormat="1" x14ac:dyDescent="0.2"/>
    <row r="289" spans="7:12" s="13" customFormat="1" x14ac:dyDescent="0.2"/>
    <row r="290" spans="7:12" s="13" customFormat="1" x14ac:dyDescent="0.2"/>
    <row r="291" spans="7:12" s="13" customFormat="1" x14ac:dyDescent="0.2">
      <c r="G291"/>
      <c r="H291"/>
      <c r="I291"/>
      <c r="J291"/>
      <c r="K291"/>
      <c r="L291"/>
    </row>
    <row r="292" spans="7:12" s="13" customFormat="1" x14ac:dyDescent="0.2">
      <c r="G292"/>
      <c r="H292"/>
      <c r="I292"/>
      <c r="J292"/>
      <c r="K292"/>
      <c r="L292"/>
    </row>
    <row r="293" spans="7:12" s="13" customFormat="1" x14ac:dyDescent="0.2">
      <c r="G293"/>
      <c r="H293"/>
      <c r="I293"/>
      <c r="J293"/>
      <c r="K293"/>
      <c r="L293"/>
    </row>
    <row r="294" spans="7:12" s="13" customFormat="1" x14ac:dyDescent="0.2">
      <c r="G294"/>
      <c r="H294"/>
      <c r="I294"/>
      <c r="J294"/>
      <c r="K294"/>
      <c r="L294"/>
    </row>
    <row r="295" spans="7:12" s="13" customFormat="1" x14ac:dyDescent="0.2">
      <c r="G295"/>
      <c r="H295"/>
      <c r="I295"/>
      <c r="J295"/>
      <c r="K295"/>
      <c r="L295"/>
    </row>
    <row r="296" spans="7:12" s="13" customFormat="1" x14ac:dyDescent="0.2">
      <c r="G296"/>
      <c r="H296"/>
      <c r="I296"/>
      <c r="J296"/>
      <c r="K296"/>
      <c r="L296"/>
    </row>
    <row r="297" spans="7:12" s="13" customFormat="1" x14ac:dyDescent="0.2">
      <c r="G297"/>
      <c r="H297"/>
      <c r="I297"/>
      <c r="J297"/>
      <c r="K297"/>
      <c r="L297"/>
    </row>
    <row r="298" spans="7:12" s="13" customFormat="1" x14ac:dyDescent="0.2">
      <c r="G298"/>
      <c r="H298"/>
      <c r="I298"/>
      <c r="J298"/>
      <c r="K298"/>
      <c r="L298"/>
    </row>
    <row r="299" spans="7:12" s="13" customFormat="1" x14ac:dyDescent="0.2">
      <c r="G299"/>
      <c r="H299"/>
      <c r="I299"/>
      <c r="J299"/>
      <c r="K299"/>
      <c r="L299"/>
    </row>
    <row r="300" spans="7:12" s="13" customFormat="1" x14ac:dyDescent="0.2">
      <c r="G300"/>
      <c r="H300"/>
      <c r="I300"/>
      <c r="J300"/>
      <c r="K300"/>
      <c r="L300"/>
    </row>
    <row r="301" spans="7:12" s="13" customFormat="1" x14ac:dyDescent="0.2">
      <c r="G301"/>
      <c r="H301"/>
      <c r="I301"/>
      <c r="J301"/>
      <c r="K301"/>
      <c r="L301"/>
    </row>
    <row r="302" spans="7:12" s="13" customFormat="1" x14ac:dyDescent="0.2">
      <c r="G302"/>
      <c r="H302"/>
      <c r="I302"/>
      <c r="J302"/>
      <c r="K302"/>
      <c r="L302"/>
    </row>
    <row r="303" spans="7:12" s="13" customFormat="1" x14ac:dyDescent="0.2">
      <c r="G303"/>
      <c r="H303"/>
      <c r="I303"/>
      <c r="J303"/>
      <c r="K303"/>
      <c r="L303"/>
    </row>
  </sheetData>
  <sheetProtection algorithmName="SHA-512" hashValue="PaNZjF/HZa95xyj90RZkJOA22LzN3lpAP8itddL6XTpLQDqi4l0OqFVc7nUtkUJ84ZbYbRvi/t2Flmxi8tsdCg==" saltValue="Pit2iFEjrywBt50OCiAdZg==" spinCount="100000" sheet="1" objects="1" scenarios="1"/>
  <phoneticPr fontId="7" type="noConversion"/>
  <dataValidations count="1">
    <dataValidation type="list" allowBlank="1" showInputMessage="1" showErrorMessage="1" sqref="B3" xr:uid="{0F3F003F-602B-4016-A32C-E694495BE75B}">
      <formula1>"Phase1, Phase2, Phase3"</formula1>
    </dataValidation>
  </dataValidations>
  <printOptions horizontalCentered="1"/>
  <pageMargins left="0.75" right="0.75" top="1" bottom="1" header="0.5" footer="0.5"/>
  <pageSetup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4A4-7051-45C9-B737-5E487CFF3F59}">
  <sheetPr>
    <pageSetUpPr fitToPage="1"/>
  </sheetPr>
  <dimension ref="A1:AK246"/>
  <sheetViews>
    <sheetView zoomScaleNormal="100" workbookViewId="0">
      <pane xSplit="8" ySplit="5" topLeftCell="I6" activePane="bottomRight" state="frozen"/>
      <selection pane="topRight" activeCell="I1" sqref="I1"/>
      <selection pane="bottomLeft" activeCell="A6" sqref="A6"/>
      <selection pane="bottomRight" activeCell="I8" sqref="I8"/>
    </sheetView>
  </sheetViews>
  <sheetFormatPr defaultRowHeight="12.75" x14ac:dyDescent="0.2"/>
  <cols>
    <col min="1" max="1" width="4" style="129" customWidth="1"/>
    <col min="2" max="2" width="1.28515625" style="131" customWidth="1"/>
    <col min="3" max="7" width="1.85546875" style="131" customWidth="1"/>
    <col min="8" max="8" width="34.7109375" style="131" customWidth="1"/>
    <col min="9" max="9" width="15.28515625" style="131" customWidth="1"/>
    <col min="10" max="10" width="10" style="131" customWidth="1"/>
    <col min="11" max="11" width="1.7109375" style="131" customWidth="1"/>
    <col min="12" max="12" width="15.28515625" style="131" customWidth="1"/>
    <col min="13" max="13" width="10" style="131" customWidth="1"/>
    <col min="14" max="14" width="1.7109375" style="131" customWidth="1"/>
    <col min="15" max="15" width="15.28515625" style="131" customWidth="1"/>
    <col min="16" max="16" width="10" style="131" customWidth="1"/>
    <col min="17" max="17" width="1.7109375" style="131" customWidth="1"/>
    <col min="18" max="18" width="15.28515625" style="131" customWidth="1"/>
    <col min="19" max="19" width="10" style="131" customWidth="1"/>
    <col min="20" max="20" width="4.28515625" style="129" customWidth="1"/>
    <col min="21" max="37" width="9.140625" style="129"/>
    <col min="38" max="16384" width="9.140625" style="131"/>
  </cols>
  <sheetData>
    <row r="1" spans="1:37" s="128" customFormat="1" ht="27" customHeight="1" x14ac:dyDescent="0.4">
      <c r="A1" s="126"/>
      <c r="B1" s="212" t="s">
        <v>86</v>
      </c>
      <c r="C1" s="212"/>
      <c r="D1" s="212"/>
      <c r="E1" s="212"/>
      <c r="F1" s="212"/>
      <c r="G1" s="212"/>
      <c r="H1" s="212"/>
      <c r="I1" s="212"/>
      <c r="J1" s="212"/>
      <c r="K1" s="212"/>
      <c r="L1" s="212"/>
      <c r="M1" s="212"/>
      <c r="N1" s="212"/>
      <c r="O1" s="212"/>
      <c r="P1" s="212"/>
      <c r="Q1" s="212"/>
      <c r="R1" s="212"/>
      <c r="S1" s="212"/>
      <c r="T1" s="127"/>
      <c r="U1" s="127"/>
      <c r="V1" s="127"/>
      <c r="W1" s="127"/>
      <c r="X1" s="127"/>
      <c r="Y1" s="127"/>
      <c r="Z1" s="127"/>
      <c r="AA1" s="127"/>
      <c r="AB1" s="127"/>
      <c r="AC1" s="127"/>
      <c r="AD1" s="127"/>
      <c r="AE1" s="127"/>
      <c r="AF1" s="127"/>
      <c r="AG1" s="127"/>
      <c r="AH1" s="127"/>
      <c r="AI1" s="127"/>
      <c r="AJ1" s="127"/>
      <c r="AK1" s="127"/>
    </row>
    <row r="2" spans="1:37" ht="17.25" customHeight="1" x14ac:dyDescent="0.25">
      <c r="B2" s="213" t="s">
        <v>170</v>
      </c>
      <c r="C2" s="213"/>
      <c r="D2" s="213"/>
      <c r="E2" s="213"/>
      <c r="F2" s="213"/>
      <c r="G2" s="213"/>
      <c r="H2" s="213"/>
      <c r="I2" s="213"/>
      <c r="J2" s="213"/>
      <c r="K2" s="213"/>
      <c r="L2" s="213"/>
      <c r="M2" s="213"/>
      <c r="N2" s="213"/>
      <c r="O2" s="213"/>
      <c r="P2" s="213"/>
      <c r="Q2" s="213"/>
      <c r="R2" s="213"/>
      <c r="S2" s="213"/>
      <c r="T2" s="130"/>
      <c r="U2" s="130"/>
      <c r="V2" s="130"/>
      <c r="W2" s="130"/>
      <c r="X2" s="130"/>
      <c r="Y2" s="130"/>
      <c r="Z2" s="130"/>
      <c r="AA2" s="130"/>
      <c r="AB2" s="130"/>
      <c r="AC2" s="130"/>
      <c r="AD2" s="130"/>
      <c r="AE2" s="130"/>
      <c r="AF2" s="130"/>
      <c r="AG2" s="130"/>
      <c r="AH2" s="130"/>
      <c r="AI2" s="130"/>
      <c r="AJ2" s="130"/>
      <c r="AK2" s="130"/>
    </row>
    <row r="3" spans="1:37" ht="17.25" customHeight="1" x14ac:dyDescent="0.25">
      <c r="B3" s="214"/>
      <c r="C3" s="214"/>
      <c r="D3" s="214"/>
      <c r="E3" s="214"/>
      <c r="F3" s="214"/>
      <c r="G3" s="214"/>
      <c r="H3" s="214"/>
      <c r="I3" s="214"/>
      <c r="J3" s="214"/>
      <c r="K3" s="214"/>
      <c r="L3" s="214"/>
      <c r="M3" s="214"/>
      <c r="N3" s="214"/>
      <c r="O3" s="214"/>
      <c r="P3" s="214"/>
      <c r="Q3" s="214"/>
      <c r="R3" s="214"/>
      <c r="S3" s="214"/>
    </row>
    <row r="4" spans="1:37" ht="3.75" customHeight="1" x14ac:dyDescent="0.2">
      <c r="B4" s="132"/>
      <c r="C4" s="133"/>
      <c r="D4" s="133"/>
      <c r="E4" s="133"/>
      <c r="F4" s="133"/>
      <c r="G4" s="133"/>
      <c r="H4" s="133"/>
      <c r="I4" s="133"/>
      <c r="J4" s="133"/>
      <c r="K4" s="133"/>
      <c r="L4" s="133"/>
      <c r="M4" s="133"/>
      <c r="N4" s="133"/>
      <c r="O4" s="133"/>
      <c r="P4" s="133"/>
      <c r="Q4" s="133"/>
      <c r="R4" s="133"/>
      <c r="S4" s="133"/>
    </row>
    <row r="5" spans="1:37" s="128" customFormat="1" ht="21.75" customHeight="1" x14ac:dyDescent="0.2">
      <c r="A5" s="126"/>
      <c r="B5" s="134"/>
      <c r="C5" s="134"/>
      <c r="D5" s="134"/>
      <c r="E5" s="134"/>
      <c r="F5" s="134"/>
      <c r="G5" s="134"/>
      <c r="H5" s="134"/>
      <c r="I5" s="215" t="s">
        <v>187</v>
      </c>
      <c r="J5" s="216"/>
      <c r="K5" s="134"/>
      <c r="L5" s="215" t="s">
        <v>189</v>
      </c>
      <c r="M5" s="216"/>
      <c r="N5" s="134"/>
      <c r="O5" s="215" t="s">
        <v>188</v>
      </c>
      <c r="P5" s="216"/>
      <c r="Q5" s="134"/>
      <c r="R5" s="217" t="s">
        <v>171</v>
      </c>
      <c r="S5" s="218"/>
      <c r="T5" s="126"/>
      <c r="U5" s="126"/>
      <c r="V5" s="126"/>
      <c r="W5" s="126"/>
      <c r="X5" s="126"/>
      <c r="Y5" s="126"/>
      <c r="Z5" s="126"/>
      <c r="AA5" s="126"/>
      <c r="AB5" s="126"/>
      <c r="AC5" s="126"/>
      <c r="AD5" s="126"/>
      <c r="AE5" s="126"/>
      <c r="AF5" s="126"/>
      <c r="AG5" s="126"/>
      <c r="AH5" s="126"/>
      <c r="AI5" s="126"/>
      <c r="AJ5" s="126"/>
      <c r="AK5" s="126"/>
    </row>
    <row r="6" spans="1:37" s="126" customFormat="1" ht="6" customHeight="1" x14ac:dyDescent="0.2">
      <c r="B6" s="135"/>
      <c r="C6" s="136"/>
      <c r="D6" s="136"/>
      <c r="E6" s="136"/>
      <c r="F6" s="136"/>
      <c r="G6" s="136"/>
      <c r="H6" s="136"/>
      <c r="I6" s="137"/>
      <c r="J6" s="137"/>
      <c r="K6" s="137"/>
      <c r="L6" s="137"/>
      <c r="M6" s="137"/>
      <c r="N6" s="137"/>
      <c r="O6" s="137"/>
      <c r="P6" s="137"/>
      <c r="Q6" s="137"/>
      <c r="R6" s="137"/>
      <c r="S6" s="137"/>
    </row>
    <row r="7" spans="1:37" ht="16.5" customHeight="1" x14ac:dyDescent="0.25">
      <c r="B7" s="129"/>
      <c r="C7" s="119" t="s">
        <v>173</v>
      </c>
      <c r="D7" s="116"/>
      <c r="E7" s="116"/>
      <c r="F7" s="116"/>
      <c r="G7" s="138"/>
      <c r="H7" s="139"/>
      <c r="I7" s="139"/>
      <c r="J7" s="116"/>
      <c r="K7" s="140"/>
      <c r="L7" s="139"/>
      <c r="M7" s="116"/>
      <c r="N7" s="140"/>
      <c r="O7" s="139"/>
      <c r="P7" s="116"/>
      <c r="Q7" s="140"/>
      <c r="R7" s="139"/>
      <c r="S7" s="116"/>
    </row>
    <row r="8" spans="1:37" x14ac:dyDescent="0.2">
      <c r="B8" s="129"/>
      <c r="C8" s="116"/>
      <c r="D8" s="116" t="s">
        <v>174</v>
      </c>
      <c r="E8" s="116"/>
      <c r="F8" s="116"/>
      <c r="G8" s="138"/>
      <c r="H8" s="139"/>
      <c r="I8" s="74">
        <v>22320</v>
      </c>
      <c r="J8" s="118">
        <f>I8/I$12</f>
        <v>0.1838074398249453</v>
      </c>
      <c r="K8" s="140"/>
      <c r="L8" s="74">
        <v>43200</v>
      </c>
      <c r="M8" s="118">
        <f>L8/L$12</f>
        <v>0.31053604436229199</v>
      </c>
      <c r="N8" s="140"/>
      <c r="O8" s="74">
        <v>89280</v>
      </c>
      <c r="P8" s="118">
        <f>O8/O$12</f>
        <v>0.47390691114245415</v>
      </c>
      <c r="Q8" s="140"/>
      <c r="R8" s="141">
        <f>I8+L8+O8</f>
        <v>154800</v>
      </c>
      <c r="S8" s="118">
        <f>R8/R$12</f>
        <v>0.34481441881777908</v>
      </c>
    </row>
    <row r="9" spans="1:37" x14ac:dyDescent="0.2">
      <c r="B9" s="129"/>
      <c r="C9" s="116"/>
      <c r="D9" s="116" t="s">
        <v>175</v>
      </c>
      <c r="E9" s="116"/>
      <c r="F9" s="116"/>
      <c r="G9" s="138"/>
      <c r="H9" s="139"/>
      <c r="I9" s="74">
        <v>66428.57142857142</v>
      </c>
      <c r="J9" s="118">
        <f>I9/I$12</f>
        <v>0.54704595185995619</v>
      </c>
      <c r="K9" s="140"/>
      <c r="L9" s="74">
        <v>64285.714285714283</v>
      </c>
      <c r="M9" s="118">
        <f>L9/L$12</f>
        <v>0.46210720887245832</v>
      </c>
      <c r="N9" s="140"/>
      <c r="O9" s="74">
        <v>66428.57142857142</v>
      </c>
      <c r="P9" s="118">
        <f>O9/O$12</f>
        <v>0.35260930888575454</v>
      </c>
      <c r="Q9" s="140"/>
      <c r="R9" s="141">
        <f t="shared" ref="R9:R11" si="0">I9+L9+O9</f>
        <v>197142.85714285713</v>
      </c>
      <c r="S9" s="118">
        <f>R9/R$12</f>
        <v>0.43913242706583161</v>
      </c>
    </row>
    <row r="10" spans="1:37" x14ac:dyDescent="0.2">
      <c r="B10" s="129"/>
      <c r="C10" s="116"/>
      <c r="D10" s="116" t="s">
        <v>176</v>
      </c>
      <c r="E10" s="116"/>
      <c r="F10" s="116"/>
      <c r="G10" s="138"/>
      <c r="H10" s="139"/>
      <c r="I10" s="74">
        <v>23072.857142857145</v>
      </c>
      <c r="J10" s="118">
        <f>I10/I$12</f>
        <v>0.19000729394602484</v>
      </c>
      <c r="K10" s="140"/>
      <c r="L10" s="74">
        <v>22328.571428571431</v>
      </c>
      <c r="M10" s="118">
        <f>L10/L$12</f>
        <v>0.16050523721503387</v>
      </c>
      <c r="N10" s="140"/>
      <c r="O10" s="74">
        <v>23072.857142857145</v>
      </c>
      <c r="P10" s="118">
        <f>O10/O$12</f>
        <v>0.1224729666196521</v>
      </c>
      <c r="Q10" s="140"/>
      <c r="R10" s="141">
        <f t="shared" si="0"/>
        <v>68474.285714285725</v>
      </c>
      <c r="S10" s="118">
        <f>R10/R$12</f>
        <v>0.15252532966753221</v>
      </c>
    </row>
    <row r="11" spans="1:37" x14ac:dyDescent="0.2">
      <c r="B11" s="129"/>
      <c r="C11" s="116"/>
      <c r="D11" s="116" t="s">
        <v>177</v>
      </c>
      <c r="E11" s="116"/>
      <c r="F11" s="116"/>
      <c r="G11" s="138"/>
      <c r="H11" s="139"/>
      <c r="I11" s="74">
        <v>9610</v>
      </c>
      <c r="J11" s="118">
        <f>I11/I$12</f>
        <v>7.9139314369073677E-2</v>
      </c>
      <c r="K11" s="140"/>
      <c r="L11" s="74">
        <v>9300</v>
      </c>
      <c r="M11" s="118">
        <f>L11/L$12</f>
        <v>6.685150955021564E-2</v>
      </c>
      <c r="N11" s="140"/>
      <c r="O11" s="74">
        <v>9610</v>
      </c>
      <c r="P11" s="118">
        <f>O11/O$12</f>
        <v>5.101081335213916E-2</v>
      </c>
      <c r="Q11" s="140"/>
      <c r="R11" s="141">
        <f t="shared" si="0"/>
        <v>28520</v>
      </c>
      <c r="S11" s="118">
        <f>R11/R$12</f>
        <v>6.3527824448856976E-2</v>
      </c>
    </row>
    <row r="12" spans="1:37" x14ac:dyDescent="0.2">
      <c r="B12" s="129"/>
      <c r="C12" s="116"/>
      <c r="D12" s="116"/>
      <c r="E12" s="116" t="s">
        <v>128</v>
      </c>
      <c r="F12" s="139"/>
      <c r="G12" s="138"/>
      <c r="H12" s="139"/>
      <c r="I12" s="142">
        <f>SUM(I8:I11)</f>
        <v>121431.42857142857</v>
      </c>
      <c r="J12" s="143">
        <v>1</v>
      </c>
      <c r="K12" s="140"/>
      <c r="L12" s="142">
        <f>SUM(L8:L11)</f>
        <v>139114.28571428574</v>
      </c>
      <c r="M12" s="143">
        <v>1</v>
      </c>
      <c r="N12" s="140"/>
      <c r="O12" s="142">
        <f>SUM(O8:O11)</f>
        <v>188391.42857142858</v>
      </c>
      <c r="P12" s="143">
        <v>1</v>
      </c>
      <c r="Q12" s="140"/>
      <c r="R12" s="142">
        <f>SUM(R8:R11)</f>
        <v>448937.1428571429</v>
      </c>
      <c r="S12" s="143">
        <v>1</v>
      </c>
    </row>
    <row r="13" spans="1:37" ht="3" customHeight="1" x14ac:dyDescent="0.2">
      <c r="B13" s="129"/>
      <c r="C13" s="116"/>
      <c r="D13" s="116"/>
      <c r="E13" s="116"/>
      <c r="F13" s="116"/>
      <c r="G13" s="138"/>
      <c r="H13" s="139"/>
      <c r="I13" s="117"/>
      <c r="J13" s="118"/>
      <c r="K13" s="140"/>
      <c r="L13" s="117"/>
      <c r="M13" s="118"/>
      <c r="N13" s="140"/>
      <c r="O13" s="117"/>
      <c r="P13" s="118"/>
      <c r="Q13" s="140"/>
      <c r="R13" s="117"/>
      <c r="S13" s="118"/>
    </row>
    <row r="14" spans="1:37" ht="15.75" x14ac:dyDescent="0.2">
      <c r="B14" s="129"/>
      <c r="C14" s="121" t="s">
        <v>129</v>
      </c>
      <c r="D14" s="116"/>
      <c r="E14" s="116"/>
      <c r="F14" s="116"/>
      <c r="G14" s="138"/>
      <c r="H14" s="139"/>
      <c r="I14" s="117"/>
      <c r="J14" s="118"/>
      <c r="K14" s="140"/>
      <c r="L14" s="117"/>
      <c r="M14" s="118"/>
      <c r="N14" s="140"/>
      <c r="O14" s="117"/>
      <c r="P14" s="118"/>
      <c r="Q14" s="140"/>
      <c r="R14" s="117"/>
      <c r="S14" s="118"/>
    </row>
    <row r="15" spans="1:37" x14ac:dyDescent="0.2">
      <c r="B15" s="129"/>
      <c r="C15" s="116"/>
      <c r="D15" s="116" t="s">
        <v>127</v>
      </c>
      <c r="E15" s="116"/>
      <c r="F15" s="116"/>
      <c r="G15" s="138"/>
      <c r="H15" s="139"/>
      <c r="I15" s="117">
        <f>I$12*J15</f>
        <v>35495</v>
      </c>
      <c r="J15" s="79">
        <v>0.29230488694383661</v>
      </c>
      <c r="K15" s="140"/>
      <c r="L15" s="117">
        <f>L$12*M15</f>
        <v>39750.000000000007</v>
      </c>
      <c r="M15" s="79">
        <v>0.28573629081947011</v>
      </c>
      <c r="N15" s="140"/>
      <c r="O15" s="117">
        <f>O$12*P15</f>
        <v>52235.000000000007</v>
      </c>
      <c r="P15" s="79">
        <v>0.27726845322049837</v>
      </c>
      <c r="Q15" s="140"/>
      <c r="R15" s="117">
        <f t="shared" ref="R15:R16" si="1">I15+L15+O15</f>
        <v>127480</v>
      </c>
      <c r="S15" s="118">
        <f>R15/R12</f>
        <v>0.2839595743597576</v>
      </c>
    </row>
    <row r="16" spans="1:37" x14ac:dyDescent="0.2">
      <c r="B16" s="129"/>
      <c r="C16" s="116"/>
      <c r="D16" s="116" t="s">
        <v>172</v>
      </c>
      <c r="E16" s="116"/>
      <c r="F16" s="116"/>
      <c r="G16" s="138"/>
      <c r="H16" s="139"/>
      <c r="I16" s="117">
        <f>I$12*J16</f>
        <v>4129.2</v>
      </c>
      <c r="J16" s="79">
        <v>3.4004376367614879E-2</v>
      </c>
      <c r="K16" s="140"/>
      <c r="L16" s="117">
        <f>L$12*M16</f>
        <v>3996.0000000000005</v>
      </c>
      <c r="M16" s="79">
        <v>2.8724584103512012E-2</v>
      </c>
      <c r="N16" s="140"/>
      <c r="O16" s="117">
        <f>O$12*P16</f>
        <v>4129.2</v>
      </c>
      <c r="P16" s="79">
        <v>2.1918194640338503E-2</v>
      </c>
      <c r="Q16" s="140"/>
      <c r="R16" s="117">
        <f t="shared" si="1"/>
        <v>12254.400000000001</v>
      </c>
      <c r="S16" s="118">
        <f>R16/R12</f>
        <v>2.7296471666412098E-2</v>
      </c>
    </row>
    <row r="17" spans="3:19" s="129" customFormat="1" x14ac:dyDescent="0.2">
      <c r="C17" s="116"/>
      <c r="D17" s="116"/>
      <c r="E17" s="116" t="s">
        <v>130</v>
      </c>
      <c r="F17" s="116"/>
      <c r="G17" s="138"/>
      <c r="H17" s="139"/>
      <c r="I17" s="142">
        <f>SUM(I15:I16)</f>
        <v>39624.199999999997</v>
      </c>
      <c r="J17" s="143">
        <f>I17/I12</f>
        <v>0.32630926331145149</v>
      </c>
      <c r="K17" s="140"/>
      <c r="L17" s="142">
        <f>SUM(L15:L16)</f>
        <v>43746.000000000007</v>
      </c>
      <c r="M17" s="143">
        <f>L17/L12</f>
        <v>0.31446087492298214</v>
      </c>
      <c r="N17" s="140"/>
      <c r="O17" s="142">
        <f>SUM(O15:O16)</f>
        <v>56364.200000000004</v>
      </c>
      <c r="P17" s="143">
        <f>O17/O12</f>
        <v>0.29918664786083687</v>
      </c>
      <c r="Q17" s="140"/>
      <c r="R17" s="142">
        <f>SUM(R15:R16)</f>
        <v>139734.39999999999</v>
      </c>
      <c r="S17" s="143">
        <f>R17/R12</f>
        <v>0.31125604602616969</v>
      </c>
    </row>
    <row r="18" spans="3:19" s="129" customFormat="1" ht="3" customHeight="1" x14ac:dyDescent="0.2">
      <c r="C18" s="116"/>
      <c r="D18" s="116"/>
      <c r="E18" s="116"/>
      <c r="F18" s="116"/>
      <c r="G18" s="138"/>
      <c r="H18" s="139"/>
      <c r="I18" s="117"/>
      <c r="J18" s="118"/>
      <c r="K18" s="140"/>
      <c r="L18" s="117"/>
      <c r="M18" s="118"/>
      <c r="N18" s="140"/>
      <c r="O18" s="117"/>
      <c r="P18" s="118"/>
      <c r="Q18" s="140"/>
      <c r="R18" s="117"/>
      <c r="S18" s="118"/>
    </row>
    <row r="19" spans="3:19" s="129" customFormat="1" ht="15.75" x14ac:dyDescent="0.2">
      <c r="C19" s="121" t="s">
        <v>131</v>
      </c>
      <c r="D19" s="116"/>
      <c r="E19" s="116"/>
      <c r="F19" s="116"/>
      <c r="G19" s="116"/>
      <c r="H19" s="139"/>
      <c r="I19" s="117">
        <f>I12-I17</f>
        <v>81807.228571428568</v>
      </c>
      <c r="J19" s="118">
        <f>I19/I$12</f>
        <v>0.67369073668854851</v>
      </c>
      <c r="K19" s="140"/>
      <c r="L19" s="117">
        <f>L12-L17</f>
        <v>95368.285714285739</v>
      </c>
      <c r="M19" s="118">
        <f>L19/L$12</f>
        <v>0.68553912507701797</v>
      </c>
      <c r="N19" s="140"/>
      <c r="O19" s="117">
        <f>O12-O17</f>
        <v>132027.22857142857</v>
      </c>
      <c r="P19" s="118">
        <f>O19/O$12</f>
        <v>0.70081335213916307</v>
      </c>
      <c r="Q19" s="140"/>
      <c r="R19" s="117">
        <f>R12-R17</f>
        <v>309202.74285714293</v>
      </c>
      <c r="S19" s="118">
        <f>R19/R$12</f>
        <v>0.68874395397383037</v>
      </c>
    </row>
    <row r="20" spans="3:19" s="129" customFormat="1" ht="3" customHeight="1" x14ac:dyDescent="0.2">
      <c r="C20" s="116"/>
      <c r="D20" s="116"/>
      <c r="E20" s="116"/>
      <c r="F20" s="144"/>
      <c r="G20" s="116"/>
      <c r="H20" s="139"/>
      <c r="I20" s="117"/>
      <c r="J20" s="118"/>
      <c r="K20" s="140"/>
      <c r="L20" s="117"/>
      <c r="M20" s="118"/>
      <c r="N20" s="140"/>
      <c r="O20" s="117"/>
      <c r="P20" s="118"/>
      <c r="Q20" s="140"/>
      <c r="R20" s="117"/>
      <c r="S20" s="118"/>
    </row>
    <row r="21" spans="3:19" s="129" customFormat="1" ht="15.75" x14ac:dyDescent="0.2">
      <c r="C21" s="121" t="s">
        <v>132</v>
      </c>
      <c r="D21" s="116"/>
      <c r="E21" s="116"/>
      <c r="F21" s="116"/>
      <c r="G21" s="116"/>
      <c r="H21" s="139"/>
      <c r="I21" s="117"/>
      <c r="J21" s="118"/>
      <c r="K21" s="140"/>
      <c r="L21" s="117"/>
      <c r="M21" s="118"/>
      <c r="N21" s="140"/>
      <c r="O21" s="117"/>
      <c r="P21" s="118"/>
      <c r="Q21" s="140"/>
      <c r="R21" s="117"/>
      <c r="S21" s="118"/>
    </row>
    <row r="22" spans="3:19" s="129" customFormat="1" x14ac:dyDescent="0.2">
      <c r="C22" s="116"/>
      <c r="D22" s="116" t="s">
        <v>133</v>
      </c>
      <c r="E22" s="144"/>
      <c r="F22" s="116"/>
      <c r="G22" s="116"/>
      <c r="H22" s="139"/>
      <c r="I22" s="117"/>
      <c r="J22" s="118"/>
      <c r="K22" s="140"/>
      <c r="L22" s="117"/>
      <c r="M22" s="118"/>
      <c r="N22" s="140"/>
      <c r="O22" s="117"/>
      <c r="P22" s="118"/>
      <c r="Q22" s="140"/>
      <c r="R22" s="117"/>
      <c r="S22" s="118"/>
    </row>
    <row r="23" spans="3:19" s="129" customFormat="1" x14ac:dyDescent="0.2">
      <c r="C23" s="116"/>
      <c r="D23" s="116"/>
      <c r="E23" s="116" t="s">
        <v>134</v>
      </c>
      <c r="F23" s="116"/>
      <c r="G23" s="116"/>
      <c r="H23" s="139"/>
      <c r="I23" s="168">
        <f>'Assumptions Worksheet'!$I$37</f>
        <v>14583.333333333334</v>
      </c>
      <c r="J23" s="118">
        <f>I23/I$12</f>
        <v>0.12009521344595815</v>
      </c>
      <c r="K23" s="140"/>
      <c r="L23" s="168">
        <f>'Assumptions Worksheet'!$I$37</f>
        <v>14583.333333333334</v>
      </c>
      <c r="M23" s="118">
        <f>L23/L$12</f>
        <v>0.10482987608680767</v>
      </c>
      <c r="N23" s="140"/>
      <c r="O23" s="168">
        <f>'Assumptions Worksheet'!$I$37</f>
        <v>14583.333333333334</v>
      </c>
      <c r="P23" s="118">
        <f>O23/O$12</f>
        <v>7.7409749710582329E-2</v>
      </c>
      <c r="Q23" s="140"/>
      <c r="R23" s="117">
        <f t="shared" ref="R23:R24" si="2">I23+L23+O23</f>
        <v>43750</v>
      </c>
      <c r="S23" s="118">
        <f>R23/R$12</f>
        <v>9.7452395499210823E-2</v>
      </c>
    </row>
    <row r="24" spans="3:19" s="129" customFormat="1" x14ac:dyDescent="0.2">
      <c r="C24" s="116"/>
      <c r="D24" s="116"/>
      <c r="E24" s="116" t="s">
        <v>135</v>
      </c>
      <c r="F24" s="116"/>
      <c r="G24" s="116"/>
      <c r="H24" s="139"/>
      <c r="I24" s="74">
        <v>21000</v>
      </c>
      <c r="J24" s="118">
        <f>I24/I12</f>
        <v>0.17293710736217971</v>
      </c>
      <c r="K24" s="140"/>
      <c r="L24" s="74">
        <v>23000</v>
      </c>
      <c r="M24" s="118">
        <f>L24/L12</f>
        <v>0.16533169028547953</v>
      </c>
      <c r="N24" s="140"/>
      <c r="O24" s="74">
        <v>28000</v>
      </c>
      <c r="P24" s="118">
        <f>O24/O12</f>
        <v>0.14862671944431805</v>
      </c>
      <c r="Q24" s="140"/>
      <c r="R24" s="117">
        <f t="shared" si="2"/>
        <v>72000</v>
      </c>
      <c r="S24" s="118">
        <f>R24/R12</f>
        <v>0.16037879945012981</v>
      </c>
    </row>
    <row r="25" spans="3:19" s="129" customFormat="1" x14ac:dyDescent="0.2">
      <c r="C25" s="116"/>
      <c r="D25" s="116" t="s">
        <v>136</v>
      </c>
      <c r="E25" s="116"/>
      <c r="F25" s="116"/>
      <c r="G25" s="116"/>
      <c r="H25" s="139"/>
      <c r="I25" s="142">
        <f>SUM(I23:I24)</f>
        <v>35583.333333333336</v>
      </c>
      <c r="J25" s="143">
        <f>I25/I$12</f>
        <v>0.2930323208081379</v>
      </c>
      <c r="K25" s="140"/>
      <c r="L25" s="142">
        <f>SUM(L23:L24)</f>
        <v>37583.333333333336</v>
      </c>
      <c r="M25" s="143">
        <f>L25/L$12</f>
        <v>0.27016156637228722</v>
      </c>
      <c r="N25" s="140"/>
      <c r="O25" s="142">
        <f>SUM(O23:O24)</f>
        <v>42583.333333333336</v>
      </c>
      <c r="P25" s="143">
        <f>O25/O$12</f>
        <v>0.22603646915490039</v>
      </c>
      <c r="Q25" s="140"/>
      <c r="R25" s="142">
        <f>SUM(R23:R24)</f>
        <v>115750</v>
      </c>
      <c r="S25" s="143">
        <f>R25/R$12</f>
        <v>0.25783119494934065</v>
      </c>
    </row>
    <row r="26" spans="3:19" s="129" customFormat="1" ht="6.75" customHeight="1" x14ac:dyDescent="0.2">
      <c r="C26" s="116"/>
      <c r="D26" s="116"/>
      <c r="E26" s="116"/>
      <c r="F26" s="116"/>
      <c r="G26" s="116"/>
      <c r="H26" s="139"/>
      <c r="I26" s="117"/>
      <c r="J26" s="118"/>
      <c r="K26" s="140"/>
      <c r="L26" s="117"/>
      <c r="M26" s="118"/>
      <c r="N26" s="140"/>
      <c r="O26" s="117"/>
      <c r="P26" s="118"/>
      <c r="Q26" s="140"/>
      <c r="R26" s="117"/>
      <c r="S26" s="118"/>
    </row>
    <row r="27" spans="3:19" s="129" customFormat="1" x14ac:dyDescent="0.2">
      <c r="C27" s="116"/>
      <c r="D27" s="116" t="s">
        <v>0</v>
      </c>
      <c r="E27" s="116"/>
      <c r="F27" s="116"/>
      <c r="G27" s="116"/>
      <c r="H27" s="139"/>
      <c r="I27" s="117"/>
      <c r="J27" s="118"/>
      <c r="K27" s="140"/>
      <c r="L27" s="117"/>
      <c r="M27" s="118"/>
      <c r="N27" s="140"/>
      <c r="O27" s="117"/>
      <c r="P27" s="118"/>
      <c r="Q27" s="140"/>
      <c r="R27" s="117"/>
      <c r="S27" s="118"/>
    </row>
    <row r="28" spans="3:19" s="129" customFormat="1" x14ac:dyDescent="0.2">
      <c r="C28" s="116"/>
      <c r="D28" s="116"/>
      <c r="E28" s="116" t="s">
        <v>191</v>
      </c>
      <c r="F28" s="116"/>
      <c r="G28" s="116"/>
      <c r="H28" s="139"/>
      <c r="I28" s="117">
        <f>(I25+(I12*'Assumptions Worksheet'!$G$30))*'Assumptions Worksheet'!$G$44</f>
        <v>3836.8655142857142</v>
      </c>
      <c r="J28" s="118">
        <f t="shared" ref="J28:J34" si="3">I28/I$12</f>
        <v>3.1596972541822546E-2</v>
      </c>
      <c r="K28" s="140"/>
      <c r="L28" s="117">
        <f>(L25+(L12*'Assumptions Worksheet'!$G$30))*'Assumptions Worksheet'!$G$44</f>
        <v>4152.1941428571436</v>
      </c>
      <c r="M28" s="118">
        <f t="shared" ref="M28:M32" si="4">L28/L$12</f>
        <v>2.9847359827479974E-2</v>
      </c>
      <c r="N28" s="140"/>
      <c r="O28" s="117">
        <f>(O25+(O12*'Assumptions Worksheet'!$G$30))*'Assumptions Worksheet'!$G$44</f>
        <v>4987.058314285714</v>
      </c>
      <c r="P28" s="118">
        <f t="shared" ref="P28:P32" si="5">O28/O$12</f>
        <v>2.6471789890349876E-2</v>
      </c>
      <c r="Q28" s="140"/>
      <c r="R28" s="117">
        <f t="shared" ref="R28:R31" si="6">I28+L28+O28</f>
        <v>12976.117971428572</v>
      </c>
      <c r="S28" s="118">
        <f t="shared" ref="S28:S32" si="7">R28/R$12</f>
        <v>2.8904086413624561E-2</v>
      </c>
    </row>
    <row r="29" spans="3:19" s="129" customFormat="1" x14ac:dyDescent="0.2">
      <c r="C29" s="116"/>
      <c r="D29" s="116"/>
      <c r="E29" s="116" t="s">
        <v>137</v>
      </c>
      <c r="F29" s="116"/>
      <c r="G29" s="116"/>
      <c r="H29" s="139"/>
      <c r="I29" s="168">
        <f>'Assumptions Worksheet'!$G45</f>
        <v>1000</v>
      </c>
      <c r="J29" s="118">
        <f t="shared" si="3"/>
        <v>8.2351003505799873E-3</v>
      </c>
      <c r="K29" s="140"/>
      <c r="L29" s="168">
        <f>'Assumptions Worksheet'!$G45</f>
        <v>1000</v>
      </c>
      <c r="M29" s="118">
        <f t="shared" si="4"/>
        <v>7.1883343602382405E-3</v>
      </c>
      <c r="N29" s="140"/>
      <c r="O29" s="168">
        <f>'Assumptions Worksheet'!$G45</f>
        <v>1000</v>
      </c>
      <c r="P29" s="118">
        <f t="shared" si="5"/>
        <v>5.3080971230113592E-3</v>
      </c>
      <c r="Q29" s="140"/>
      <c r="R29" s="117">
        <f t="shared" si="6"/>
        <v>3000</v>
      </c>
      <c r="S29" s="118">
        <f t="shared" si="7"/>
        <v>6.6824499770887424E-3</v>
      </c>
    </row>
    <row r="30" spans="3:19" s="129" customFormat="1" x14ac:dyDescent="0.2">
      <c r="C30" s="116"/>
      <c r="D30" s="116"/>
      <c r="E30" s="116" t="s">
        <v>138</v>
      </c>
      <c r="F30" s="116"/>
      <c r="G30" s="116"/>
      <c r="H30" s="139"/>
      <c r="I30" s="168">
        <f>'Assumptions Worksheet'!$G46</f>
        <v>250</v>
      </c>
      <c r="J30" s="118">
        <f t="shared" si="3"/>
        <v>2.0587750876449968E-3</v>
      </c>
      <c r="K30" s="140"/>
      <c r="L30" s="168">
        <f>'Assumptions Worksheet'!$G46</f>
        <v>250</v>
      </c>
      <c r="M30" s="118">
        <f t="shared" si="4"/>
        <v>1.7970835900595601E-3</v>
      </c>
      <c r="N30" s="140"/>
      <c r="O30" s="168">
        <f>'Assumptions Worksheet'!$G46</f>
        <v>250</v>
      </c>
      <c r="P30" s="118">
        <f t="shared" si="5"/>
        <v>1.3270242807528398E-3</v>
      </c>
      <c r="Q30" s="140"/>
      <c r="R30" s="117">
        <f t="shared" si="6"/>
        <v>750</v>
      </c>
      <c r="S30" s="118">
        <f t="shared" si="7"/>
        <v>1.6706124942721856E-3</v>
      </c>
    </row>
    <row r="31" spans="3:19" s="129" customFormat="1" x14ac:dyDescent="0.2">
      <c r="C31" s="116"/>
      <c r="D31" s="116"/>
      <c r="E31" s="116" t="s">
        <v>1</v>
      </c>
      <c r="F31" s="116"/>
      <c r="G31" s="116"/>
      <c r="H31" s="139"/>
      <c r="I31" s="168">
        <f>'Assumptions Worksheet'!$G47</f>
        <v>250</v>
      </c>
      <c r="J31" s="118">
        <f t="shared" si="3"/>
        <v>2.0587750876449968E-3</v>
      </c>
      <c r="K31" s="140"/>
      <c r="L31" s="168">
        <f>'Assumptions Worksheet'!$G47</f>
        <v>250</v>
      </c>
      <c r="M31" s="118">
        <f t="shared" si="4"/>
        <v>1.7970835900595601E-3</v>
      </c>
      <c r="N31" s="140"/>
      <c r="O31" s="168">
        <f>'Assumptions Worksheet'!$G47</f>
        <v>250</v>
      </c>
      <c r="P31" s="118">
        <f t="shared" si="5"/>
        <v>1.3270242807528398E-3</v>
      </c>
      <c r="Q31" s="140"/>
      <c r="R31" s="117">
        <f t="shared" si="6"/>
        <v>750</v>
      </c>
      <c r="S31" s="118">
        <f t="shared" si="7"/>
        <v>1.6706124942721856E-3</v>
      </c>
    </row>
    <row r="32" spans="3:19" s="129" customFormat="1" x14ac:dyDescent="0.2">
      <c r="C32" s="116"/>
      <c r="D32" s="116" t="s">
        <v>139</v>
      </c>
      <c r="E32" s="116"/>
      <c r="F32" s="116"/>
      <c r="G32" s="116"/>
      <c r="H32" s="139"/>
      <c r="I32" s="142">
        <f>SUM(I28:I31)</f>
        <v>5336.8655142857142</v>
      </c>
      <c r="J32" s="143">
        <f t="shared" si="3"/>
        <v>4.3949623067692525E-2</v>
      </c>
      <c r="K32" s="140"/>
      <c r="L32" s="142">
        <f>SUM(L28:L31)</f>
        <v>5652.1941428571436</v>
      </c>
      <c r="M32" s="143">
        <f t="shared" si="4"/>
        <v>4.0629861367837333E-2</v>
      </c>
      <c r="N32" s="140"/>
      <c r="O32" s="142">
        <f>SUM(O28:O31)</f>
        <v>6487.058314285714</v>
      </c>
      <c r="P32" s="143">
        <f t="shared" si="5"/>
        <v>3.4433935574866917E-2</v>
      </c>
      <c r="Q32" s="140"/>
      <c r="R32" s="142">
        <f>SUM(R28:R31)</f>
        <v>17476.117971428572</v>
      </c>
      <c r="S32" s="143">
        <f t="shared" si="7"/>
        <v>3.8927761379257672E-2</v>
      </c>
    </row>
    <row r="33" spans="3:19" s="129" customFormat="1" ht="3" customHeight="1" x14ac:dyDescent="0.2">
      <c r="C33" s="116"/>
      <c r="D33" s="116"/>
      <c r="E33" s="116"/>
      <c r="F33" s="116"/>
      <c r="G33" s="116"/>
      <c r="H33" s="139"/>
      <c r="I33" s="117"/>
      <c r="J33" s="118"/>
      <c r="K33" s="140"/>
      <c r="L33" s="117"/>
      <c r="M33" s="118"/>
      <c r="N33" s="140"/>
      <c r="O33" s="117"/>
      <c r="P33" s="118"/>
      <c r="Q33" s="140"/>
      <c r="R33" s="117"/>
      <c r="S33" s="118"/>
    </row>
    <row r="34" spans="3:19" s="129" customFormat="1" x14ac:dyDescent="0.2">
      <c r="C34" s="116"/>
      <c r="D34" s="116"/>
      <c r="E34" s="116" t="s">
        <v>140</v>
      </c>
      <c r="F34" s="116"/>
      <c r="G34" s="116"/>
      <c r="H34" s="139"/>
      <c r="I34" s="142">
        <f>I25+I32</f>
        <v>40920.198847619053</v>
      </c>
      <c r="J34" s="143">
        <f t="shared" si="3"/>
        <v>0.33698194387583041</v>
      </c>
      <c r="K34" s="140"/>
      <c r="L34" s="142">
        <f>L25+L32</f>
        <v>43235.52747619048</v>
      </c>
      <c r="M34" s="143">
        <f t="shared" ref="M34" si="8">L34/L$12</f>
        <v>0.31079142774012458</v>
      </c>
      <c r="N34" s="140"/>
      <c r="O34" s="142">
        <f>O25+O32</f>
        <v>49070.39164761905</v>
      </c>
      <c r="P34" s="143">
        <f t="shared" ref="P34" si="9">O34/O$12</f>
        <v>0.26047040472976729</v>
      </c>
      <c r="Q34" s="140"/>
      <c r="R34" s="142">
        <f>R25+R32</f>
        <v>133226.11797142858</v>
      </c>
      <c r="S34" s="143">
        <f t="shared" ref="S34" si="10">R34/R$12</f>
        <v>0.29675895632859833</v>
      </c>
    </row>
    <row r="35" spans="3:19" s="129" customFormat="1" ht="3" customHeight="1" x14ac:dyDescent="0.2">
      <c r="C35" s="116"/>
      <c r="D35" s="116"/>
      <c r="E35" s="144"/>
      <c r="F35" s="116"/>
      <c r="G35" s="116"/>
      <c r="H35" s="139"/>
      <c r="I35" s="117"/>
      <c r="J35" s="118"/>
      <c r="K35" s="140"/>
      <c r="L35" s="117"/>
      <c r="M35" s="118"/>
      <c r="N35" s="140"/>
      <c r="O35" s="117"/>
      <c r="P35" s="118"/>
      <c r="Q35" s="140"/>
      <c r="R35" s="117"/>
      <c r="S35" s="118"/>
    </row>
    <row r="36" spans="3:19" s="129" customFormat="1" ht="15.75" x14ac:dyDescent="0.2">
      <c r="C36" s="145"/>
      <c r="D36" s="145"/>
      <c r="E36" s="146" t="s">
        <v>141</v>
      </c>
      <c r="F36" s="147"/>
      <c r="G36" s="148"/>
      <c r="H36" s="149"/>
      <c r="I36" s="150">
        <f>I34+I17</f>
        <v>80544.398847619042</v>
      </c>
      <c r="J36" s="151">
        <f>I36/I$12</f>
        <v>0.66329120718728185</v>
      </c>
      <c r="K36" s="140"/>
      <c r="L36" s="150">
        <f>L34+L17</f>
        <v>86981.527476190488</v>
      </c>
      <c r="M36" s="151">
        <f>L36/L$12</f>
        <v>0.62525230266310672</v>
      </c>
      <c r="N36" s="140"/>
      <c r="O36" s="150">
        <f>O34+O17</f>
        <v>105434.59164761906</v>
      </c>
      <c r="P36" s="151">
        <f>O36/O$12</f>
        <v>0.55965705259060416</v>
      </c>
      <c r="Q36" s="140"/>
      <c r="R36" s="150">
        <f>R34+R17</f>
        <v>272960.51797142858</v>
      </c>
      <c r="S36" s="151">
        <f>R36/R$12</f>
        <v>0.60801500235476802</v>
      </c>
    </row>
    <row r="37" spans="3:19" s="129" customFormat="1" ht="3" customHeight="1" x14ac:dyDescent="0.2">
      <c r="C37" s="116"/>
      <c r="D37" s="116"/>
      <c r="E37" s="144"/>
      <c r="F37" s="116"/>
      <c r="G37" s="116"/>
      <c r="H37" s="139"/>
      <c r="I37" s="117"/>
      <c r="J37" s="118"/>
      <c r="K37" s="140"/>
      <c r="L37" s="117"/>
      <c r="M37" s="118"/>
      <c r="N37" s="140"/>
      <c r="O37" s="117"/>
      <c r="P37" s="118"/>
      <c r="Q37" s="140"/>
      <c r="R37" s="117"/>
      <c r="S37" s="118"/>
    </row>
    <row r="38" spans="3:19" s="129" customFormat="1" ht="15.75" x14ac:dyDescent="0.2">
      <c r="C38" s="121" t="s">
        <v>179</v>
      </c>
      <c r="D38" s="116"/>
      <c r="E38" s="144"/>
      <c r="F38" s="116"/>
      <c r="G38" s="116"/>
      <c r="H38" s="139"/>
      <c r="I38" s="117"/>
      <c r="J38" s="118"/>
      <c r="K38" s="140"/>
      <c r="L38" s="117"/>
      <c r="M38" s="118"/>
      <c r="N38" s="140"/>
      <c r="O38" s="117"/>
      <c r="P38" s="118"/>
      <c r="Q38" s="140"/>
      <c r="R38" s="117"/>
      <c r="S38" s="118"/>
    </row>
    <row r="39" spans="3:19" s="129" customFormat="1" x14ac:dyDescent="0.2">
      <c r="C39" s="116"/>
      <c r="D39" s="116" t="s">
        <v>142</v>
      </c>
      <c r="E39" s="116"/>
      <c r="F39" s="116"/>
      <c r="G39" s="116"/>
      <c r="H39" s="139"/>
      <c r="I39" s="117"/>
      <c r="J39" s="118"/>
      <c r="K39" s="140"/>
      <c r="L39" s="117"/>
      <c r="M39" s="118"/>
      <c r="N39" s="140"/>
      <c r="O39" s="117"/>
      <c r="P39" s="118"/>
      <c r="Q39" s="140"/>
      <c r="R39" s="117"/>
      <c r="S39" s="118"/>
    </row>
    <row r="40" spans="3:19" s="129" customFormat="1" x14ac:dyDescent="0.2">
      <c r="C40" s="116"/>
      <c r="D40" s="116"/>
      <c r="E40" s="116" t="s">
        <v>48</v>
      </c>
      <c r="F40" s="116"/>
      <c r="G40" s="116"/>
      <c r="H40" s="139"/>
      <c r="I40" s="168">
        <f>'Assumptions Worksheet'!$G51</f>
        <v>300</v>
      </c>
      <c r="J40" s="118">
        <f t="shared" ref="J40:J92" si="11">I40/I$12</f>
        <v>2.4705301051739961E-3</v>
      </c>
      <c r="K40" s="140"/>
      <c r="L40" s="168">
        <f>'Assumptions Worksheet'!$G51</f>
        <v>300</v>
      </c>
      <c r="M40" s="118">
        <f t="shared" ref="M40:M50" si="12">L40/L$12</f>
        <v>2.1565003080714724E-3</v>
      </c>
      <c r="N40" s="140"/>
      <c r="O40" s="168">
        <f>'Assumptions Worksheet'!$G51</f>
        <v>300</v>
      </c>
      <c r="P40" s="118">
        <f t="shared" ref="P40:P50" si="13">O40/O$12</f>
        <v>1.5924291369034077E-3</v>
      </c>
      <c r="Q40" s="140"/>
      <c r="R40" s="117">
        <f t="shared" ref="R40:R49" si="14">I40+L40+O40</f>
        <v>900</v>
      </c>
      <c r="S40" s="118">
        <f t="shared" ref="S40:S50" si="15">R40/R$12</f>
        <v>2.0047349931266228E-3</v>
      </c>
    </row>
    <row r="41" spans="3:19" s="129" customFormat="1" x14ac:dyDescent="0.2">
      <c r="C41" s="116"/>
      <c r="D41" s="116"/>
      <c r="E41" s="116" t="s">
        <v>4</v>
      </c>
      <c r="F41" s="116"/>
      <c r="G41" s="116"/>
      <c r="H41" s="139"/>
      <c r="I41" s="168">
        <f>'Assumptions Worksheet'!$G52</f>
        <v>500</v>
      </c>
      <c r="J41" s="118">
        <f t="shared" si="11"/>
        <v>4.1175501752899937E-3</v>
      </c>
      <c r="K41" s="140"/>
      <c r="L41" s="168">
        <f>'Assumptions Worksheet'!$G52</f>
        <v>500</v>
      </c>
      <c r="M41" s="118">
        <f t="shared" si="12"/>
        <v>3.5941671801191202E-3</v>
      </c>
      <c r="N41" s="140"/>
      <c r="O41" s="168">
        <f>'Assumptions Worksheet'!$G52</f>
        <v>500</v>
      </c>
      <c r="P41" s="118">
        <f t="shared" si="13"/>
        <v>2.6540485615056796E-3</v>
      </c>
      <c r="Q41" s="140"/>
      <c r="R41" s="117">
        <f t="shared" si="14"/>
        <v>1500</v>
      </c>
      <c r="S41" s="118">
        <f t="shared" si="15"/>
        <v>3.3412249885443712E-3</v>
      </c>
    </row>
    <row r="42" spans="3:19" s="129" customFormat="1" x14ac:dyDescent="0.2">
      <c r="C42" s="116"/>
      <c r="D42" s="116"/>
      <c r="E42" s="116" t="s">
        <v>3</v>
      </c>
      <c r="F42" s="116"/>
      <c r="G42" s="116"/>
      <c r="H42" s="139"/>
      <c r="I42" s="168">
        <f>'Assumptions Worksheet'!$G53</f>
        <v>800</v>
      </c>
      <c r="J42" s="118">
        <f t="shared" si="11"/>
        <v>6.5880802804639893E-3</v>
      </c>
      <c r="K42" s="140"/>
      <c r="L42" s="168">
        <f>'Assumptions Worksheet'!$G53</f>
        <v>800</v>
      </c>
      <c r="M42" s="118">
        <f t="shared" si="12"/>
        <v>5.7506674881905922E-3</v>
      </c>
      <c r="N42" s="140"/>
      <c r="O42" s="168">
        <f>'Assumptions Worksheet'!$G53</f>
        <v>800</v>
      </c>
      <c r="P42" s="118">
        <f t="shared" si="13"/>
        <v>4.2464776984090869E-3</v>
      </c>
      <c r="Q42" s="140"/>
      <c r="R42" s="117">
        <f t="shared" si="14"/>
        <v>2400</v>
      </c>
      <c r="S42" s="118">
        <f t="shared" si="15"/>
        <v>5.3459599816709936E-3</v>
      </c>
    </row>
    <row r="43" spans="3:19" s="129" customFormat="1" x14ac:dyDescent="0.2">
      <c r="C43" s="116"/>
      <c r="D43" s="116"/>
      <c r="E43" s="116" t="s">
        <v>46</v>
      </c>
      <c r="F43" s="116"/>
      <c r="G43" s="116"/>
      <c r="H43" s="139"/>
      <c r="I43" s="168">
        <f>'Assumptions Worksheet'!$G54</f>
        <v>400</v>
      </c>
      <c r="J43" s="118">
        <f t="shared" si="11"/>
        <v>3.2940401402319947E-3</v>
      </c>
      <c r="K43" s="140"/>
      <c r="L43" s="168">
        <f>'Assumptions Worksheet'!$G54</f>
        <v>400</v>
      </c>
      <c r="M43" s="118">
        <f t="shared" si="12"/>
        <v>2.8753337440952961E-3</v>
      </c>
      <c r="N43" s="140"/>
      <c r="O43" s="168">
        <f>'Assumptions Worksheet'!$G54</f>
        <v>400</v>
      </c>
      <c r="P43" s="118">
        <f t="shared" si="13"/>
        <v>2.1232388492045434E-3</v>
      </c>
      <c r="Q43" s="140"/>
      <c r="R43" s="117">
        <f t="shared" si="14"/>
        <v>1200</v>
      </c>
      <c r="S43" s="118">
        <f t="shared" si="15"/>
        <v>2.6729799908354968E-3</v>
      </c>
    </row>
    <row r="44" spans="3:19" s="129" customFormat="1" x14ac:dyDescent="0.2">
      <c r="C44" s="116"/>
      <c r="D44" s="116"/>
      <c r="E44" s="116" t="s">
        <v>45</v>
      </c>
      <c r="F44" s="116"/>
      <c r="G44" s="116"/>
      <c r="H44" s="139"/>
      <c r="I44" s="168">
        <f>'Assumptions Worksheet'!$G55</f>
        <v>300</v>
      </c>
      <c r="J44" s="118">
        <f t="shared" si="11"/>
        <v>2.4705301051739961E-3</v>
      </c>
      <c r="K44" s="140"/>
      <c r="L44" s="168">
        <f>'Assumptions Worksheet'!$G55</f>
        <v>300</v>
      </c>
      <c r="M44" s="118">
        <f t="shared" si="12"/>
        <v>2.1565003080714724E-3</v>
      </c>
      <c r="N44" s="140"/>
      <c r="O44" s="168">
        <f>'Assumptions Worksheet'!$G55</f>
        <v>300</v>
      </c>
      <c r="P44" s="118">
        <f t="shared" si="13"/>
        <v>1.5924291369034077E-3</v>
      </c>
      <c r="Q44" s="140"/>
      <c r="R44" s="117">
        <f t="shared" si="14"/>
        <v>900</v>
      </c>
      <c r="S44" s="118">
        <f t="shared" si="15"/>
        <v>2.0047349931266228E-3</v>
      </c>
    </row>
    <row r="45" spans="3:19" s="129" customFormat="1" x14ac:dyDescent="0.2">
      <c r="C45" s="116"/>
      <c r="D45" s="116"/>
      <c r="E45" s="116" t="s">
        <v>143</v>
      </c>
      <c r="F45" s="116"/>
      <c r="G45" s="116"/>
      <c r="H45" s="139"/>
      <c r="I45" s="168">
        <f>'Assumptions Worksheet'!$G56</f>
        <v>1200</v>
      </c>
      <c r="J45" s="118">
        <f t="shared" si="11"/>
        <v>9.8821204206959844E-3</v>
      </c>
      <c r="K45" s="140"/>
      <c r="L45" s="168">
        <f>'Assumptions Worksheet'!$G56</f>
        <v>1200</v>
      </c>
      <c r="M45" s="118">
        <f t="shared" si="12"/>
        <v>8.6260012322858896E-3</v>
      </c>
      <c r="N45" s="140"/>
      <c r="O45" s="168">
        <f>'Assumptions Worksheet'!$G56</f>
        <v>1200</v>
      </c>
      <c r="P45" s="118">
        <f t="shared" si="13"/>
        <v>6.3697165476136307E-3</v>
      </c>
      <c r="Q45" s="140"/>
      <c r="R45" s="117">
        <f t="shared" si="14"/>
        <v>3600</v>
      </c>
      <c r="S45" s="118">
        <f t="shared" si="15"/>
        <v>8.0189399725064912E-3</v>
      </c>
    </row>
    <row r="46" spans="3:19" s="129" customFormat="1" x14ac:dyDescent="0.2">
      <c r="C46" s="116"/>
      <c r="D46" s="116"/>
      <c r="E46" s="116" t="s">
        <v>47</v>
      </c>
      <c r="F46" s="116"/>
      <c r="G46" s="116"/>
      <c r="H46" s="139"/>
      <c r="I46" s="168">
        <f>'Assumptions Worksheet'!$G57</f>
        <v>100</v>
      </c>
      <c r="J46" s="118">
        <f t="shared" si="11"/>
        <v>8.2351003505799867E-4</v>
      </c>
      <c r="K46" s="140"/>
      <c r="L46" s="168">
        <f>'Assumptions Worksheet'!$G57</f>
        <v>100</v>
      </c>
      <c r="M46" s="118">
        <f t="shared" si="12"/>
        <v>7.1883343602382403E-4</v>
      </c>
      <c r="N46" s="140"/>
      <c r="O46" s="168">
        <f>'Assumptions Worksheet'!$G57</f>
        <v>100</v>
      </c>
      <c r="P46" s="118">
        <f t="shared" si="13"/>
        <v>5.3080971230113586E-4</v>
      </c>
      <c r="Q46" s="140"/>
      <c r="R46" s="117">
        <f t="shared" si="14"/>
        <v>300</v>
      </c>
      <c r="S46" s="118">
        <f t="shared" si="15"/>
        <v>6.682449977088742E-4</v>
      </c>
    </row>
    <row r="47" spans="3:19" s="129" customFormat="1" x14ac:dyDescent="0.2">
      <c r="C47" s="116"/>
      <c r="D47" s="116"/>
      <c r="E47" s="116" t="s">
        <v>5</v>
      </c>
      <c r="F47" s="116"/>
      <c r="G47" s="116"/>
      <c r="H47" s="139"/>
      <c r="I47" s="168">
        <f>'Assumptions Worksheet'!$G58</f>
        <v>300</v>
      </c>
      <c r="J47" s="118">
        <f t="shared" si="11"/>
        <v>2.4705301051739961E-3</v>
      </c>
      <c r="K47" s="140"/>
      <c r="L47" s="168">
        <f>'Assumptions Worksheet'!$G58</f>
        <v>300</v>
      </c>
      <c r="M47" s="118">
        <f t="shared" si="12"/>
        <v>2.1565003080714724E-3</v>
      </c>
      <c r="N47" s="140"/>
      <c r="O47" s="168">
        <f>'Assumptions Worksheet'!$G58</f>
        <v>300</v>
      </c>
      <c r="P47" s="118">
        <f t="shared" si="13"/>
        <v>1.5924291369034077E-3</v>
      </c>
      <c r="Q47" s="140"/>
      <c r="R47" s="117">
        <f t="shared" si="14"/>
        <v>900</v>
      </c>
      <c r="S47" s="118">
        <f t="shared" si="15"/>
        <v>2.0047349931266228E-3</v>
      </c>
    </row>
    <row r="48" spans="3:19" s="129" customFormat="1" x14ac:dyDescent="0.2">
      <c r="C48" s="116"/>
      <c r="D48" s="116"/>
      <c r="E48" s="116" t="s">
        <v>31</v>
      </c>
      <c r="F48" s="116"/>
      <c r="G48" s="116"/>
      <c r="H48" s="139"/>
      <c r="I48" s="168">
        <f>'Assumptions Worksheet'!$G59</f>
        <v>300</v>
      </c>
      <c r="J48" s="118">
        <f t="shared" si="11"/>
        <v>2.4705301051739961E-3</v>
      </c>
      <c r="K48" s="140"/>
      <c r="L48" s="168">
        <f>'Assumptions Worksheet'!$G59</f>
        <v>300</v>
      </c>
      <c r="M48" s="118">
        <f t="shared" si="12"/>
        <v>2.1565003080714724E-3</v>
      </c>
      <c r="N48" s="140"/>
      <c r="O48" s="168">
        <f>'Assumptions Worksheet'!$G59</f>
        <v>300</v>
      </c>
      <c r="P48" s="118">
        <f t="shared" si="13"/>
        <v>1.5924291369034077E-3</v>
      </c>
      <c r="Q48" s="140"/>
      <c r="R48" s="117">
        <f t="shared" si="14"/>
        <v>900</v>
      </c>
      <c r="S48" s="118">
        <f t="shared" si="15"/>
        <v>2.0047349931266228E-3</v>
      </c>
    </row>
    <row r="49" spans="3:19" s="129" customFormat="1" x14ac:dyDescent="0.2">
      <c r="C49" s="116"/>
      <c r="D49" s="116"/>
      <c r="E49" s="116" t="s">
        <v>2</v>
      </c>
      <c r="F49" s="116"/>
      <c r="G49" s="116"/>
      <c r="H49" s="139"/>
      <c r="I49" s="168">
        <f>'Assumptions Worksheet'!$G60</f>
        <v>600</v>
      </c>
      <c r="J49" s="118">
        <f t="shared" si="11"/>
        <v>4.9410602103479922E-3</v>
      </c>
      <c r="K49" s="140"/>
      <c r="L49" s="168">
        <f>'Assumptions Worksheet'!$G60</f>
        <v>600</v>
      </c>
      <c r="M49" s="118">
        <f t="shared" si="12"/>
        <v>4.3130006161429448E-3</v>
      </c>
      <c r="N49" s="140"/>
      <c r="O49" s="168">
        <f>'Assumptions Worksheet'!$G60</f>
        <v>600</v>
      </c>
      <c r="P49" s="118">
        <f t="shared" si="13"/>
        <v>3.1848582738068154E-3</v>
      </c>
      <c r="Q49" s="140"/>
      <c r="R49" s="117">
        <f t="shared" si="14"/>
        <v>1800</v>
      </c>
      <c r="S49" s="118">
        <f t="shared" si="15"/>
        <v>4.0094699862532456E-3</v>
      </c>
    </row>
    <row r="50" spans="3:19" s="129" customFormat="1" x14ac:dyDescent="0.2">
      <c r="C50" s="116"/>
      <c r="D50" s="116" t="s">
        <v>6</v>
      </c>
      <c r="E50" s="116"/>
      <c r="F50" s="116"/>
      <c r="G50" s="116"/>
      <c r="H50" s="139"/>
      <c r="I50" s="152">
        <f>SUM(I40:I49)</f>
        <v>4800</v>
      </c>
      <c r="J50" s="143">
        <f t="shared" si="11"/>
        <v>3.9528481682783938E-2</v>
      </c>
      <c r="K50" s="140"/>
      <c r="L50" s="152">
        <f>SUM(L40:L49)</f>
        <v>4800</v>
      </c>
      <c r="M50" s="143">
        <f t="shared" si="12"/>
        <v>3.4504004929143559E-2</v>
      </c>
      <c r="N50" s="140"/>
      <c r="O50" s="152">
        <f>SUM(O40:O49)</f>
        <v>4800</v>
      </c>
      <c r="P50" s="143">
        <f t="shared" si="13"/>
        <v>2.5478866190454523E-2</v>
      </c>
      <c r="Q50" s="140"/>
      <c r="R50" s="152">
        <f>SUM(R40:R49)</f>
        <v>14400</v>
      </c>
      <c r="S50" s="143">
        <f t="shared" si="15"/>
        <v>3.2075759890025965E-2</v>
      </c>
    </row>
    <row r="51" spans="3:19" s="129" customFormat="1" ht="3" customHeight="1" x14ac:dyDescent="0.2">
      <c r="C51" s="116"/>
      <c r="D51" s="116"/>
      <c r="E51" s="116"/>
      <c r="F51" s="116"/>
      <c r="G51" s="116"/>
      <c r="H51" s="139"/>
      <c r="I51" s="117"/>
      <c r="J51" s="118"/>
      <c r="K51" s="140"/>
      <c r="L51" s="117"/>
      <c r="M51" s="118"/>
      <c r="N51" s="140"/>
      <c r="O51" s="117"/>
      <c r="P51" s="118"/>
      <c r="Q51" s="140"/>
      <c r="R51" s="117"/>
      <c r="S51" s="118"/>
    </row>
    <row r="52" spans="3:19" s="129" customFormat="1" x14ac:dyDescent="0.2">
      <c r="C52" s="116"/>
      <c r="D52" s="116" t="s">
        <v>76</v>
      </c>
      <c r="E52" s="116"/>
      <c r="F52" s="116"/>
      <c r="G52" s="116"/>
      <c r="H52" s="139"/>
      <c r="I52" s="117"/>
      <c r="J52" s="118"/>
      <c r="K52" s="140"/>
      <c r="L52" s="117"/>
      <c r="M52" s="118"/>
      <c r="N52" s="140"/>
      <c r="O52" s="117"/>
      <c r="P52" s="118"/>
      <c r="Q52" s="140"/>
      <c r="R52" s="117"/>
      <c r="S52" s="118"/>
    </row>
    <row r="53" spans="3:19" s="129" customFormat="1" x14ac:dyDescent="0.2">
      <c r="C53" s="116"/>
      <c r="D53" s="116"/>
      <c r="E53" s="116" t="s">
        <v>144</v>
      </c>
      <c r="F53" s="116"/>
      <c r="G53" s="116"/>
      <c r="H53" s="139"/>
      <c r="I53" s="168">
        <f>'Assumptions Worksheet'!$G64</f>
        <v>250</v>
      </c>
      <c r="J53" s="118">
        <f t="shared" si="11"/>
        <v>2.0587750876449968E-3</v>
      </c>
      <c r="K53" s="140"/>
      <c r="L53" s="168">
        <f>'Assumptions Worksheet'!$G64</f>
        <v>250</v>
      </c>
      <c r="M53" s="118">
        <f t="shared" ref="M53:M55" si="16">L53/L$12</f>
        <v>1.7970835900595601E-3</v>
      </c>
      <c r="N53" s="140"/>
      <c r="O53" s="168">
        <f>'Assumptions Worksheet'!$G64</f>
        <v>250</v>
      </c>
      <c r="P53" s="118">
        <f t="shared" ref="P53:P55" si="17">O53/O$12</f>
        <v>1.3270242807528398E-3</v>
      </c>
      <c r="Q53" s="140"/>
      <c r="R53" s="117">
        <f t="shared" ref="R53:R54" si="18">I53+L53+O53</f>
        <v>750</v>
      </c>
      <c r="S53" s="118">
        <f t="shared" ref="S53:S92" si="19">R53/R$12</f>
        <v>1.6706124942721856E-3</v>
      </c>
    </row>
    <row r="54" spans="3:19" s="129" customFormat="1" x14ac:dyDescent="0.2">
      <c r="C54" s="116"/>
      <c r="D54" s="116"/>
      <c r="E54" s="116" t="s">
        <v>1</v>
      </c>
      <c r="F54" s="116"/>
      <c r="G54" s="116"/>
      <c r="H54" s="139"/>
      <c r="I54" s="168">
        <f>'Assumptions Worksheet'!$G65</f>
        <v>0</v>
      </c>
      <c r="J54" s="118">
        <f t="shared" si="11"/>
        <v>0</v>
      </c>
      <c r="K54" s="140"/>
      <c r="L54" s="168">
        <f>'Assumptions Worksheet'!$G65</f>
        <v>0</v>
      </c>
      <c r="M54" s="118">
        <f t="shared" si="16"/>
        <v>0</v>
      </c>
      <c r="N54" s="140"/>
      <c r="O54" s="168">
        <f>'Assumptions Worksheet'!$G65</f>
        <v>0</v>
      </c>
      <c r="P54" s="118">
        <f t="shared" si="17"/>
        <v>0</v>
      </c>
      <c r="Q54" s="140"/>
      <c r="R54" s="117">
        <f t="shared" si="18"/>
        <v>0</v>
      </c>
      <c r="S54" s="118">
        <f t="shared" si="19"/>
        <v>0</v>
      </c>
    </row>
    <row r="55" spans="3:19" s="129" customFormat="1" x14ac:dyDescent="0.2">
      <c r="C55" s="116"/>
      <c r="D55" s="116" t="s">
        <v>7</v>
      </c>
      <c r="E55" s="116"/>
      <c r="F55" s="116"/>
      <c r="G55" s="116"/>
      <c r="H55" s="139"/>
      <c r="I55" s="142">
        <f>SUM(I53:I54)</f>
        <v>250</v>
      </c>
      <c r="J55" s="143">
        <f t="shared" si="11"/>
        <v>2.0587750876449968E-3</v>
      </c>
      <c r="K55" s="140"/>
      <c r="L55" s="142">
        <f>SUM(L53:L54)</f>
        <v>250</v>
      </c>
      <c r="M55" s="143">
        <f t="shared" si="16"/>
        <v>1.7970835900595601E-3</v>
      </c>
      <c r="N55" s="140"/>
      <c r="O55" s="142">
        <f>SUM(O53:O54)</f>
        <v>250</v>
      </c>
      <c r="P55" s="143">
        <f t="shared" si="17"/>
        <v>1.3270242807528398E-3</v>
      </c>
      <c r="Q55" s="140"/>
      <c r="R55" s="142">
        <f>SUM(R53:R54)</f>
        <v>750</v>
      </c>
      <c r="S55" s="143">
        <f t="shared" si="19"/>
        <v>1.6706124942721856E-3</v>
      </c>
    </row>
    <row r="56" spans="3:19" s="129" customFormat="1" ht="3" customHeight="1" x14ac:dyDescent="0.2">
      <c r="C56" s="116"/>
      <c r="D56" s="116"/>
      <c r="E56" s="116"/>
      <c r="F56" s="116"/>
      <c r="G56" s="116"/>
      <c r="H56" s="139"/>
      <c r="I56" s="117"/>
      <c r="J56" s="118"/>
      <c r="K56" s="140"/>
      <c r="L56" s="117"/>
      <c r="M56" s="118"/>
      <c r="N56" s="140"/>
      <c r="O56" s="117"/>
      <c r="P56" s="118"/>
      <c r="Q56" s="140"/>
      <c r="R56" s="117"/>
      <c r="S56" s="118"/>
    </row>
    <row r="57" spans="3:19" s="129" customFormat="1" x14ac:dyDescent="0.2">
      <c r="C57" s="116"/>
      <c r="D57" s="116" t="s">
        <v>168</v>
      </c>
      <c r="E57" s="116"/>
      <c r="F57" s="116"/>
      <c r="G57" s="116"/>
      <c r="H57" s="139"/>
      <c r="I57" s="117"/>
      <c r="J57" s="118"/>
      <c r="K57" s="140"/>
      <c r="L57" s="117"/>
      <c r="M57" s="118"/>
      <c r="N57" s="140"/>
      <c r="O57" s="117"/>
      <c r="P57" s="118"/>
      <c r="Q57" s="140"/>
      <c r="R57" s="117"/>
      <c r="S57" s="118"/>
    </row>
    <row r="58" spans="3:19" s="129" customFormat="1" x14ac:dyDescent="0.2">
      <c r="C58" s="116"/>
      <c r="D58" s="116"/>
      <c r="E58" s="116" t="s">
        <v>34</v>
      </c>
      <c r="F58" s="116"/>
      <c r="G58" s="116"/>
      <c r="H58" s="139"/>
      <c r="I58" s="168">
        <f>'Assumptions Worksheet'!$G69</f>
        <v>1000</v>
      </c>
      <c r="J58" s="118">
        <f t="shared" si="11"/>
        <v>8.2351003505799873E-3</v>
      </c>
      <c r="K58" s="140"/>
      <c r="L58" s="168">
        <f>'Assumptions Worksheet'!$G69</f>
        <v>1000</v>
      </c>
      <c r="M58" s="118">
        <f t="shared" ref="M58:M62" si="20">L58/L$12</f>
        <v>7.1883343602382405E-3</v>
      </c>
      <c r="N58" s="140"/>
      <c r="O58" s="168">
        <f>'Assumptions Worksheet'!$G69</f>
        <v>1000</v>
      </c>
      <c r="P58" s="118">
        <f t="shared" ref="P58:P62" si="21">O58/O$12</f>
        <v>5.3080971230113592E-3</v>
      </c>
      <c r="Q58" s="140"/>
      <c r="R58" s="117">
        <f t="shared" ref="R58:R61" si="22">I58+L58+O58</f>
        <v>3000</v>
      </c>
      <c r="S58" s="118">
        <f t="shared" si="19"/>
        <v>6.6824499770887424E-3</v>
      </c>
    </row>
    <row r="59" spans="3:19" s="129" customFormat="1" x14ac:dyDescent="0.2">
      <c r="C59" s="116"/>
      <c r="D59" s="116"/>
      <c r="E59" s="116" t="s">
        <v>10</v>
      </c>
      <c r="F59" s="116"/>
      <c r="G59" s="116"/>
      <c r="H59" s="139"/>
      <c r="I59" s="168">
        <f>'Assumptions Worksheet'!$G70</f>
        <v>250</v>
      </c>
      <c r="J59" s="118">
        <f t="shared" si="11"/>
        <v>2.0587750876449968E-3</v>
      </c>
      <c r="K59" s="140"/>
      <c r="L59" s="168">
        <f>'Assumptions Worksheet'!$G70</f>
        <v>250</v>
      </c>
      <c r="M59" s="118">
        <f t="shared" si="20"/>
        <v>1.7970835900595601E-3</v>
      </c>
      <c r="N59" s="140"/>
      <c r="O59" s="168">
        <f>'Assumptions Worksheet'!$G70</f>
        <v>250</v>
      </c>
      <c r="P59" s="118">
        <f t="shared" si="21"/>
        <v>1.3270242807528398E-3</v>
      </c>
      <c r="Q59" s="140"/>
      <c r="R59" s="117">
        <f t="shared" si="22"/>
        <v>750</v>
      </c>
      <c r="S59" s="118">
        <f t="shared" si="19"/>
        <v>1.6706124942721856E-3</v>
      </c>
    </row>
    <row r="60" spans="3:19" s="129" customFormat="1" x14ac:dyDescent="0.2">
      <c r="C60" s="116"/>
      <c r="D60" s="116"/>
      <c r="E60" s="116" t="s">
        <v>30</v>
      </c>
      <c r="F60" s="116"/>
      <c r="G60" s="116"/>
      <c r="H60" s="139"/>
      <c r="I60" s="168">
        <f>'Assumptions Worksheet'!$G71</f>
        <v>250</v>
      </c>
      <c r="J60" s="118">
        <f t="shared" si="11"/>
        <v>2.0587750876449968E-3</v>
      </c>
      <c r="K60" s="140"/>
      <c r="L60" s="168">
        <f>'Assumptions Worksheet'!$G71</f>
        <v>250</v>
      </c>
      <c r="M60" s="118">
        <f t="shared" si="20"/>
        <v>1.7970835900595601E-3</v>
      </c>
      <c r="N60" s="140"/>
      <c r="O60" s="168">
        <f>'Assumptions Worksheet'!$G71</f>
        <v>250</v>
      </c>
      <c r="P60" s="118">
        <f t="shared" si="21"/>
        <v>1.3270242807528398E-3</v>
      </c>
      <c r="Q60" s="140"/>
      <c r="R60" s="117">
        <f t="shared" si="22"/>
        <v>750</v>
      </c>
      <c r="S60" s="118">
        <f t="shared" si="19"/>
        <v>1.6706124942721856E-3</v>
      </c>
    </row>
    <row r="61" spans="3:19" s="129" customFormat="1" x14ac:dyDescent="0.2">
      <c r="C61" s="116"/>
      <c r="D61" s="116"/>
      <c r="E61" s="116" t="s">
        <v>50</v>
      </c>
      <c r="F61" s="116"/>
      <c r="G61" s="116"/>
      <c r="H61" s="139"/>
      <c r="I61" s="168">
        <f>'Assumptions Worksheet'!$G72</f>
        <v>0</v>
      </c>
      <c r="J61" s="118">
        <f t="shared" si="11"/>
        <v>0</v>
      </c>
      <c r="K61" s="140"/>
      <c r="L61" s="168">
        <f>'Assumptions Worksheet'!$G72</f>
        <v>0</v>
      </c>
      <c r="M61" s="118">
        <f t="shared" si="20"/>
        <v>0</v>
      </c>
      <c r="N61" s="140"/>
      <c r="O61" s="168">
        <f>'Assumptions Worksheet'!$G72</f>
        <v>0</v>
      </c>
      <c r="P61" s="118">
        <f t="shared" si="21"/>
        <v>0</v>
      </c>
      <c r="Q61" s="140"/>
      <c r="R61" s="117">
        <f t="shared" si="22"/>
        <v>0</v>
      </c>
      <c r="S61" s="118">
        <f t="shared" si="19"/>
        <v>0</v>
      </c>
    </row>
    <row r="62" spans="3:19" s="129" customFormat="1" x14ac:dyDescent="0.2">
      <c r="C62" s="116"/>
      <c r="D62" s="116" t="s">
        <v>11</v>
      </c>
      <c r="E62" s="116"/>
      <c r="F62" s="116"/>
      <c r="G62" s="116"/>
      <c r="H62" s="139"/>
      <c r="I62" s="142">
        <f>SUM(I58:I61)</f>
        <v>1500</v>
      </c>
      <c r="J62" s="143">
        <f t="shared" si="11"/>
        <v>1.2352650525869981E-2</v>
      </c>
      <c r="K62" s="140"/>
      <c r="L62" s="142">
        <f>SUM(L58:L61)</f>
        <v>1500</v>
      </c>
      <c r="M62" s="143">
        <f t="shared" si="20"/>
        <v>1.0782501540357361E-2</v>
      </c>
      <c r="N62" s="140"/>
      <c r="O62" s="142">
        <f>SUM(O58:O61)</f>
        <v>1500</v>
      </c>
      <c r="P62" s="143">
        <f t="shared" si="21"/>
        <v>7.9621456845170389E-3</v>
      </c>
      <c r="Q62" s="140"/>
      <c r="R62" s="142">
        <f>SUM(R58:R61)</f>
        <v>4500</v>
      </c>
      <c r="S62" s="143">
        <f t="shared" si="19"/>
        <v>1.0023674965633113E-2</v>
      </c>
    </row>
    <row r="63" spans="3:19" s="129" customFormat="1" ht="3" customHeight="1" x14ac:dyDescent="0.2">
      <c r="C63" s="116"/>
      <c r="D63" s="116"/>
      <c r="E63" s="116"/>
      <c r="F63" s="116"/>
      <c r="G63" s="116"/>
      <c r="H63" s="139"/>
      <c r="I63" s="117"/>
      <c r="J63" s="118"/>
      <c r="K63" s="140"/>
      <c r="L63" s="117"/>
      <c r="M63" s="118"/>
      <c r="N63" s="140"/>
      <c r="O63" s="117"/>
      <c r="P63" s="118"/>
      <c r="Q63" s="140"/>
      <c r="R63" s="117"/>
      <c r="S63" s="118"/>
    </row>
    <row r="64" spans="3:19" s="129" customFormat="1" x14ac:dyDescent="0.2">
      <c r="C64" s="116"/>
      <c r="D64" s="116" t="s">
        <v>169</v>
      </c>
      <c r="E64" s="116"/>
      <c r="F64" s="116"/>
      <c r="G64" s="116"/>
      <c r="H64" s="139"/>
      <c r="I64" s="117"/>
      <c r="J64" s="118"/>
      <c r="K64" s="140"/>
      <c r="L64" s="117"/>
      <c r="M64" s="118"/>
      <c r="N64" s="140"/>
      <c r="O64" s="117"/>
      <c r="P64" s="118"/>
      <c r="Q64" s="140"/>
      <c r="R64" s="117"/>
      <c r="S64" s="118"/>
    </row>
    <row r="65" spans="3:19" s="129" customFormat="1" x14ac:dyDescent="0.2">
      <c r="C65" s="116"/>
      <c r="D65" s="116"/>
      <c r="E65" s="116" t="s">
        <v>145</v>
      </c>
      <c r="F65" s="116"/>
      <c r="G65" s="116"/>
      <c r="H65" s="139"/>
      <c r="I65" s="168">
        <f>'Assumptions Worksheet'!$G76</f>
        <v>2500</v>
      </c>
      <c r="J65" s="118">
        <f t="shared" si="11"/>
        <v>2.0587750876449967E-2</v>
      </c>
      <c r="K65" s="140"/>
      <c r="L65" s="168">
        <f>'Assumptions Worksheet'!$G76</f>
        <v>2500</v>
      </c>
      <c r="M65" s="118">
        <f t="shared" ref="M65:M69" si="23">L65/L$12</f>
        <v>1.7970835900595603E-2</v>
      </c>
      <c r="N65" s="140"/>
      <c r="O65" s="168">
        <f>'Assumptions Worksheet'!$G76</f>
        <v>2500</v>
      </c>
      <c r="P65" s="118">
        <f t="shared" ref="P65:P69" si="24">O65/O$12</f>
        <v>1.3270242807528398E-2</v>
      </c>
      <c r="Q65" s="140"/>
      <c r="R65" s="153">
        <f t="shared" ref="R65:R68" si="25">I65+L65+O65</f>
        <v>7500</v>
      </c>
      <c r="S65" s="118">
        <f t="shared" si="19"/>
        <v>1.6706124942721855E-2</v>
      </c>
    </row>
    <row r="66" spans="3:19" s="129" customFormat="1" x14ac:dyDescent="0.2">
      <c r="C66" s="116"/>
      <c r="D66" s="116"/>
      <c r="E66" s="116" t="s">
        <v>15</v>
      </c>
      <c r="F66" s="116"/>
      <c r="G66" s="116"/>
      <c r="H66" s="139"/>
      <c r="I66" s="168">
        <f>'Assumptions Worksheet'!$G77</f>
        <v>1500</v>
      </c>
      <c r="J66" s="118">
        <f t="shared" si="11"/>
        <v>1.2352650525869981E-2</v>
      </c>
      <c r="K66" s="140"/>
      <c r="L66" s="168">
        <f>'Assumptions Worksheet'!$G77</f>
        <v>1500</v>
      </c>
      <c r="M66" s="118">
        <f t="shared" si="23"/>
        <v>1.0782501540357361E-2</v>
      </c>
      <c r="N66" s="140"/>
      <c r="O66" s="168">
        <f>'Assumptions Worksheet'!$G77</f>
        <v>1500</v>
      </c>
      <c r="P66" s="118">
        <f t="shared" si="24"/>
        <v>7.9621456845170389E-3</v>
      </c>
      <c r="Q66" s="140"/>
      <c r="R66" s="153">
        <f t="shared" si="25"/>
        <v>4500</v>
      </c>
      <c r="S66" s="118">
        <f t="shared" si="19"/>
        <v>1.0023674965633113E-2</v>
      </c>
    </row>
    <row r="67" spans="3:19" s="129" customFormat="1" x14ac:dyDescent="0.2">
      <c r="C67" s="116"/>
      <c r="D67" s="116"/>
      <c r="E67" s="116" t="s">
        <v>13</v>
      </c>
      <c r="F67" s="116"/>
      <c r="G67" s="116"/>
      <c r="H67" s="139"/>
      <c r="I67" s="168">
        <f>'Assumptions Worksheet'!$G78</f>
        <v>400</v>
      </c>
      <c r="J67" s="118">
        <f t="shared" si="11"/>
        <v>3.2940401402319947E-3</v>
      </c>
      <c r="K67" s="140"/>
      <c r="L67" s="168">
        <f>'Assumptions Worksheet'!$G78</f>
        <v>400</v>
      </c>
      <c r="M67" s="118">
        <f t="shared" si="23"/>
        <v>2.8753337440952961E-3</v>
      </c>
      <c r="N67" s="140"/>
      <c r="O67" s="168">
        <f>'Assumptions Worksheet'!$G78</f>
        <v>400</v>
      </c>
      <c r="P67" s="118">
        <f t="shared" si="24"/>
        <v>2.1232388492045434E-3</v>
      </c>
      <c r="Q67" s="140"/>
      <c r="R67" s="153">
        <f t="shared" si="25"/>
        <v>1200</v>
      </c>
      <c r="S67" s="118">
        <f t="shared" si="19"/>
        <v>2.6729799908354968E-3</v>
      </c>
    </row>
    <row r="68" spans="3:19" s="129" customFormat="1" x14ac:dyDescent="0.2">
      <c r="C68" s="116"/>
      <c r="D68" s="116"/>
      <c r="E68" s="116" t="s">
        <v>14</v>
      </c>
      <c r="F68" s="116"/>
      <c r="G68" s="116"/>
      <c r="H68" s="139"/>
      <c r="I68" s="168">
        <f>'Assumptions Worksheet'!$G79</f>
        <v>400</v>
      </c>
      <c r="J68" s="118">
        <f t="shared" si="11"/>
        <v>3.2940401402319947E-3</v>
      </c>
      <c r="K68" s="140"/>
      <c r="L68" s="168">
        <f>'Assumptions Worksheet'!$G79</f>
        <v>400</v>
      </c>
      <c r="M68" s="118">
        <f t="shared" si="23"/>
        <v>2.8753337440952961E-3</v>
      </c>
      <c r="N68" s="140"/>
      <c r="O68" s="168">
        <f>'Assumptions Worksheet'!$G79</f>
        <v>400</v>
      </c>
      <c r="P68" s="118">
        <f t="shared" si="24"/>
        <v>2.1232388492045434E-3</v>
      </c>
      <c r="Q68" s="140"/>
      <c r="R68" s="153">
        <f t="shared" si="25"/>
        <v>1200</v>
      </c>
      <c r="S68" s="118">
        <f t="shared" si="19"/>
        <v>2.6729799908354968E-3</v>
      </c>
    </row>
    <row r="69" spans="3:19" s="129" customFormat="1" x14ac:dyDescent="0.2">
      <c r="C69" s="116"/>
      <c r="D69" s="116" t="s">
        <v>16</v>
      </c>
      <c r="E69" s="116"/>
      <c r="F69" s="116"/>
      <c r="G69" s="116"/>
      <c r="H69" s="139"/>
      <c r="I69" s="142">
        <f>SUM(I65:I68)</f>
        <v>4800</v>
      </c>
      <c r="J69" s="143">
        <f t="shared" si="11"/>
        <v>3.9528481682783938E-2</v>
      </c>
      <c r="K69" s="140"/>
      <c r="L69" s="142">
        <f>SUM(L65:L68)</f>
        <v>4800</v>
      </c>
      <c r="M69" s="143">
        <f t="shared" si="23"/>
        <v>3.4504004929143559E-2</v>
      </c>
      <c r="N69" s="140"/>
      <c r="O69" s="142">
        <f>SUM(O65:O68)</f>
        <v>4800</v>
      </c>
      <c r="P69" s="143">
        <f t="shared" si="24"/>
        <v>2.5478866190454523E-2</v>
      </c>
      <c r="Q69" s="140"/>
      <c r="R69" s="142">
        <f>SUM(R65:R68)</f>
        <v>14400</v>
      </c>
      <c r="S69" s="143">
        <f t="shared" si="19"/>
        <v>3.2075759890025965E-2</v>
      </c>
    </row>
    <row r="70" spans="3:19" s="129" customFormat="1" ht="3" customHeight="1" x14ac:dyDescent="0.2">
      <c r="C70" s="116"/>
      <c r="D70" s="116"/>
      <c r="E70" s="116"/>
      <c r="F70" s="116"/>
      <c r="G70" s="116"/>
      <c r="H70" s="139"/>
      <c r="I70" s="117"/>
      <c r="J70" s="118"/>
      <c r="K70" s="140"/>
      <c r="L70" s="117"/>
      <c r="M70" s="118"/>
      <c r="N70" s="140"/>
      <c r="O70" s="117"/>
      <c r="P70" s="118"/>
      <c r="Q70" s="140"/>
      <c r="R70" s="117"/>
      <c r="S70" s="118"/>
    </row>
    <row r="71" spans="3:19" s="129" customFormat="1" x14ac:dyDescent="0.2">
      <c r="C71" s="116"/>
      <c r="D71" s="116" t="s">
        <v>180</v>
      </c>
      <c r="E71" s="116"/>
      <c r="F71" s="116"/>
      <c r="G71" s="116"/>
      <c r="H71" s="139"/>
      <c r="I71" s="117"/>
      <c r="J71" s="118"/>
      <c r="K71" s="140"/>
      <c r="L71" s="117"/>
      <c r="M71" s="118"/>
      <c r="N71" s="140"/>
      <c r="O71" s="117"/>
      <c r="P71" s="118"/>
      <c r="Q71" s="140"/>
      <c r="R71" s="117"/>
      <c r="S71" s="118"/>
    </row>
    <row r="72" spans="3:19" s="129" customFormat="1" x14ac:dyDescent="0.2">
      <c r="C72" s="116"/>
      <c r="D72" s="116"/>
      <c r="E72" s="116" t="s">
        <v>40</v>
      </c>
      <c r="F72" s="116"/>
      <c r="G72" s="116"/>
      <c r="H72" s="139"/>
      <c r="I72" s="168">
        <f>'Assumptions Worksheet'!$G83</f>
        <v>1200</v>
      </c>
      <c r="J72" s="118">
        <f t="shared" si="11"/>
        <v>9.8821204206959844E-3</v>
      </c>
      <c r="K72" s="140"/>
      <c r="L72" s="168">
        <f>'Assumptions Worksheet'!$G83</f>
        <v>1200</v>
      </c>
      <c r="M72" s="118">
        <f t="shared" ref="M72:M86" si="26">L72/L$12</f>
        <v>8.6260012322858896E-3</v>
      </c>
      <c r="N72" s="140"/>
      <c r="O72" s="168">
        <f>'Assumptions Worksheet'!$G83</f>
        <v>1200</v>
      </c>
      <c r="P72" s="118">
        <f t="shared" ref="P72:P86" si="27">O72/O$12</f>
        <v>6.3697165476136307E-3</v>
      </c>
      <c r="Q72" s="140"/>
      <c r="R72" s="153">
        <f t="shared" ref="R72:R85" si="28">I72+L72+O72</f>
        <v>3600</v>
      </c>
      <c r="S72" s="118">
        <f t="shared" si="19"/>
        <v>8.0189399725064912E-3</v>
      </c>
    </row>
    <row r="73" spans="3:19" s="129" customFormat="1" x14ac:dyDescent="0.2">
      <c r="C73" s="116"/>
      <c r="D73" s="116"/>
      <c r="E73" s="116" t="s">
        <v>33</v>
      </c>
      <c r="F73" s="116"/>
      <c r="G73" s="116"/>
      <c r="H73" s="139"/>
      <c r="I73" s="168">
        <f>'Assumptions Worksheet'!$G84</f>
        <v>50</v>
      </c>
      <c r="J73" s="118">
        <f t="shared" si="11"/>
        <v>4.1175501752899933E-4</v>
      </c>
      <c r="K73" s="140"/>
      <c r="L73" s="168">
        <f>'Assumptions Worksheet'!$G84</f>
        <v>50</v>
      </c>
      <c r="M73" s="118">
        <f t="shared" si="26"/>
        <v>3.5941671801191201E-4</v>
      </c>
      <c r="N73" s="140"/>
      <c r="O73" s="168">
        <f>'Assumptions Worksheet'!$G84</f>
        <v>50</v>
      </c>
      <c r="P73" s="118">
        <f t="shared" si="27"/>
        <v>2.6540485615056793E-4</v>
      </c>
      <c r="Q73" s="140"/>
      <c r="R73" s="153">
        <f t="shared" si="28"/>
        <v>150</v>
      </c>
      <c r="S73" s="118">
        <f t="shared" si="19"/>
        <v>3.341224988544371E-4</v>
      </c>
    </row>
    <row r="74" spans="3:19" s="129" customFormat="1" x14ac:dyDescent="0.2">
      <c r="C74" s="116"/>
      <c r="D74" s="116"/>
      <c r="E74" s="116" t="s">
        <v>23</v>
      </c>
      <c r="F74" s="116"/>
      <c r="G74" s="116"/>
      <c r="H74" s="139"/>
      <c r="I74" s="168">
        <f>'Assumptions Worksheet'!$G85</f>
        <v>300</v>
      </c>
      <c r="J74" s="118">
        <f t="shared" si="11"/>
        <v>2.4705301051739961E-3</v>
      </c>
      <c r="K74" s="140"/>
      <c r="L74" s="168">
        <f>'Assumptions Worksheet'!$G85</f>
        <v>300</v>
      </c>
      <c r="M74" s="118">
        <f t="shared" si="26"/>
        <v>2.1565003080714724E-3</v>
      </c>
      <c r="N74" s="140"/>
      <c r="O74" s="168">
        <f>'Assumptions Worksheet'!$G85</f>
        <v>300</v>
      </c>
      <c r="P74" s="118">
        <f t="shared" si="27"/>
        <v>1.5924291369034077E-3</v>
      </c>
      <c r="Q74" s="140"/>
      <c r="R74" s="153">
        <f t="shared" si="28"/>
        <v>900</v>
      </c>
      <c r="S74" s="118">
        <f t="shared" si="19"/>
        <v>2.0047349931266228E-3</v>
      </c>
    </row>
    <row r="75" spans="3:19" s="129" customFormat="1" x14ac:dyDescent="0.2">
      <c r="C75" s="116"/>
      <c r="D75" s="116"/>
      <c r="E75" s="116" t="s">
        <v>21</v>
      </c>
      <c r="F75" s="116"/>
      <c r="G75" s="116"/>
      <c r="H75" s="139"/>
      <c r="I75" s="168">
        <f>'Assumptions Worksheet'!$G86</f>
        <v>50</v>
      </c>
      <c r="J75" s="118">
        <f t="shared" si="11"/>
        <v>4.1175501752899933E-4</v>
      </c>
      <c r="K75" s="140"/>
      <c r="L75" s="168">
        <f>'Assumptions Worksheet'!$G86</f>
        <v>50</v>
      </c>
      <c r="M75" s="118">
        <f t="shared" si="26"/>
        <v>3.5941671801191201E-4</v>
      </c>
      <c r="N75" s="140"/>
      <c r="O75" s="168">
        <f>'Assumptions Worksheet'!$G86</f>
        <v>50</v>
      </c>
      <c r="P75" s="118">
        <f t="shared" si="27"/>
        <v>2.6540485615056793E-4</v>
      </c>
      <c r="Q75" s="140"/>
      <c r="R75" s="153">
        <f t="shared" si="28"/>
        <v>150</v>
      </c>
      <c r="S75" s="118">
        <f t="shared" si="19"/>
        <v>3.341224988544371E-4</v>
      </c>
    </row>
    <row r="76" spans="3:19" s="129" customFormat="1" x14ac:dyDescent="0.2">
      <c r="C76" s="116"/>
      <c r="D76" s="116"/>
      <c r="E76" s="116" t="s">
        <v>146</v>
      </c>
      <c r="F76" s="116"/>
      <c r="G76" s="116"/>
      <c r="H76" s="139"/>
      <c r="I76" s="74">
        <v>3220.7228571428577</v>
      </c>
      <c r="J76" s="118">
        <f t="shared" si="11"/>
        <v>2.6522975929978123E-2</v>
      </c>
      <c r="K76" s="140"/>
      <c r="L76" s="74">
        <v>3635.2285714285708</v>
      </c>
      <c r="M76" s="118">
        <f t="shared" si="26"/>
        <v>2.6131238447319769E-2</v>
      </c>
      <c r="N76" s="140"/>
      <c r="O76" s="74">
        <v>4827.7628571428559</v>
      </c>
      <c r="P76" s="118">
        <f t="shared" si="27"/>
        <v>2.5626234132581093E-2</v>
      </c>
      <c r="Q76" s="140"/>
      <c r="R76" s="153">
        <f t="shared" si="28"/>
        <v>11683.714285714284</v>
      </c>
      <c r="S76" s="118">
        <f t="shared" si="19"/>
        <v>2.6025278753627611E-2</v>
      </c>
    </row>
    <row r="77" spans="3:19" s="129" customFormat="1" x14ac:dyDescent="0.2">
      <c r="C77" s="116"/>
      <c r="D77" s="116"/>
      <c r="E77" s="116" t="s">
        <v>20</v>
      </c>
      <c r="F77" s="116"/>
      <c r="G77" s="116"/>
      <c r="H77" s="139"/>
      <c r="I77" s="168">
        <f>'Assumptions Worksheet'!$G87</f>
        <v>150</v>
      </c>
      <c r="J77" s="118">
        <f t="shared" si="11"/>
        <v>1.2352650525869981E-3</v>
      </c>
      <c r="K77" s="140"/>
      <c r="L77" s="168">
        <f>'Assumptions Worksheet'!$G87</f>
        <v>150</v>
      </c>
      <c r="M77" s="118">
        <f t="shared" si="26"/>
        <v>1.0782501540357362E-3</v>
      </c>
      <c r="N77" s="140"/>
      <c r="O77" s="168">
        <f>'Assumptions Worksheet'!$G87</f>
        <v>150</v>
      </c>
      <c r="P77" s="118">
        <f t="shared" si="27"/>
        <v>7.9621456845170384E-4</v>
      </c>
      <c r="Q77" s="140"/>
      <c r="R77" s="153">
        <f t="shared" si="28"/>
        <v>450</v>
      </c>
      <c r="S77" s="118">
        <f t="shared" si="19"/>
        <v>1.0023674965633114E-3</v>
      </c>
    </row>
    <row r="78" spans="3:19" s="129" customFormat="1" x14ac:dyDescent="0.2">
      <c r="C78" s="116"/>
      <c r="D78" s="116"/>
      <c r="E78" s="116" t="s">
        <v>5</v>
      </c>
      <c r="F78" s="116"/>
      <c r="G78" s="116"/>
      <c r="H78" s="139"/>
      <c r="I78" s="168">
        <f>'Assumptions Worksheet'!$G88</f>
        <v>200</v>
      </c>
      <c r="J78" s="118">
        <f t="shared" si="11"/>
        <v>1.6470200701159973E-3</v>
      </c>
      <c r="K78" s="140"/>
      <c r="L78" s="168">
        <f>'Assumptions Worksheet'!$G88</f>
        <v>200</v>
      </c>
      <c r="M78" s="118">
        <f t="shared" si="26"/>
        <v>1.4376668720476481E-3</v>
      </c>
      <c r="N78" s="140"/>
      <c r="O78" s="168">
        <f>'Assumptions Worksheet'!$G88</f>
        <v>200</v>
      </c>
      <c r="P78" s="118">
        <f t="shared" si="27"/>
        <v>1.0616194246022717E-3</v>
      </c>
      <c r="Q78" s="140"/>
      <c r="R78" s="153">
        <f t="shared" si="28"/>
        <v>600</v>
      </c>
      <c r="S78" s="118">
        <f t="shared" si="19"/>
        <v>1.3364899954177484E-3</v>
      </c>
    </row>
    <row r="79" spans="3:19" s="129" customFormat="1" x14ac:dyDescent="0.2">
      <c r="C79" s="116"/>
      <c r="D79" s="116"/>
      <c r="E79" s="116" t="s">
        <v>18</v>
      </c>
      <c r="F79" s="116"/>
      <c r="G79" s="116"/>
      <c r="H79" s="139"/>
      <c r="I79" s="168">
        <f>'Assumptions Worksheet'!$G89</f>
        <v>100</v>
      </c>
      <c r="J79" s="118">
        <f t="shared" si="11"/>
        <v>8.2351003505799867E-4</v>
      </c>
      <c r="K79" s="140"/>
      <c r="L79" s="168">
        <f>'Assumptions Worksheet'!$G89</f>
        <v>100</v>
      </c>
      <c r="M79" s="118">
        <f t="shared" si="26"/>
        <v>7.1883343602382403E-4</v>
      </c>
      <c r="N79" s="140"/>
      <c r="O79" s="168">
        <f>'Assumptions Worksheet'!$G89</f>
        <v>100</v>
      </c>
      <c r="P79" s="118">
        <f t="shared" si="27"/>
        <v>5.3080971230113586E-4</v>
      </c>
      <c r="Q79" s="140"/>
      <c r="R79" s="153">
        <f t="shared" si="28"/>
        <v>300</v>
      </c>
      <c r="S79" s="118">
        <f t="shared" si="19"/>
        <v>6.682449977088742E-4</v>
      </c>
    </row>
    <row r="80" spans="3:19" s="129" customFormat="1" x14ac:dyDescent="0.2">
      <c r="C80" s="116"/>
      <c r="D80" s="116"/>
      <c r="E80" s="116" t="s">
        <v>41</v>
      </c>
      <c r="F80" s="116"/>
      <c r="G80" s="116"/>
      <c r="H80" s="139"/>
      <c r="I80" s="168">
        <f>'Assumptions Worksheet'!$G90</f>
        <v>150</v>
      </c>
      <c r="J80" s="118">
        <f t="shared" si="11"/>
        <v>1.2352650525869981E-3</v>
      </c>
      <c r="K80" s="140"/>
      <c r="L80" s="168">
        <f>'Assumptions Worksheet'!$G90</f>
        <v>150</v>
      </c>
      <c r="M80" s="118">
        <f t="shared" si="26"/>
        <v>1.0782501540357362E-3</v>
      </c>
      <c r="N80" s="140"/>
      <c r="O80" s="168">
        <f>'Assumptions Worksheet'!$G90</f>
        <v>150</v>
      </c>
      <c r="P80" s="118">
        <f t="shared" si="27"/>
        <v>7.9621456845170384E-4</v>
      </c>
      <c r="Q80" s="140"/>
      <c r="R80" s="153">
        <f t="shared" si="28"/>
        <v>450</v>
      </c>
      <c r="S80" s="118">
        <f t="shared" si="19"/>
        <v>1.0023674965633114E-3</v>
      </c>
    </row>
    <row r="81" spans="3:19" s="129" customFormat="1" x14ac:dyDescent="0.2">
      <c r="C81" s="116"/>
      <c r="D81" s="116"/>
      <c r="E81" s="116" t="s">
        <v>19</v>
      </c>
      <c r="F81" s="116"/>
      <c r="G81" s="116"/>
      <c r="H81" s="139"/>
      <c r="I81" s="168">
        <f>'Assumptions Worksheet'!$G91</f>
        <v>25</v>
      </c>
      <c r="J81" s="118">
        <f t="shared" si="11"/>
        <v>2.0587750876449967E-4</v>
      </c>
      <c r="K81" s="140"/>
      <c r="L81" s="168">
        <f>'Assumptions Worksheet'!$G91</f>
        <v>25</v>
      </c>
      <c r="M81" s="118">
        <f t="shared" si="26"/>
        <v>1.7970835900595601E-4</v>
      </c>
      <c r="N81" s="140"/>
      <c r="O81" s="168">
        <f>'Assumptions Worksheet'!$G91</f>
        <v>25</v>
      </c>
      <c r="P81" s="118">
        <f t="shared" si="27"/>
        <v>1.3270242807528396E-4</v>
      </c>
      <c r="Q81" s="140"/>
      <c r="R81" s="153">
        <f t="shared" si="28"/>
        <v>75</v>
      </c>
      <c r="S81" s="118">
        <f t="shared" si="19"/>
        <v>1.6706124942721855E-4</v>
      </c>
    </row>
    <row r="82" spans="3:19" s="129" customFormat="1" x14ac:dyDescent="0.2">
      <c r="C82" s="116"/>
      <c r="D82" s="116"/>
      <c r="E82" s="116" t="s">
        <v>147</v>
      </c>
      <c r="F82" s="116"/>
      <c r="G82" s="116"/>
      <c r="H82" s="139"/>
      <c r="I82" s="168">
        <f>'Assumptions Worksheet'!$G92</f>
        <v>300</v>
      </c>
      <c r="J82" s="118">
        <f t="shared" si="11"/>
        <v>2.4705301051739961E-3</v>
      </c>
      <c r="K82" s="140"/>
      <c r="L82" s="168">
        <f>'Assumptions Worksheet'!$G92</f>
        <v>300</v>
      </c>
      <c r="M82" s="118">
        <f t="shared" si="26"/>
        <v>2.1565003080714724E-3</v>
      </c>
      <c r="N82" s="140"/>
      <c r="O82" s="168">
        <f>'Assumptions Worksheet'!$G92</f>
        <v>300</v>
      </c>
      <c r="P82" s="118">
        <f t="shared" si="27"/>
        <v>1.5924291369034077E-3</v>
      </c>
      <c r="Q82" s="140"/>
      <c r="R82" s="153">
        <f t="shared" si="28"/>
        <v>900</v>
      </c>
      <c r="S82" s="118">
        <f t="shared" si="19"/>
        <v>2.0047349931266228E-3</v>
      </c>
    </row>
    <row r="83" spans="3:19" s="129" customFormat="1" x14ac:dyDescent="0.2">
      <c r="C83" s="116"/>
      <c r="D83" s="116"/>
      <c r="E83" s="116" t="s">
        <v>52</v>
      </c>
      <c r="F83" s="116"/>
      <c r="G83" s="116"/>
      <c r="H83" s="139"/>
      <c r="I83" s="168">
        <f>'Assumptions Worksheet'!$G93</f>
        <v>0</v>
      </c>
      <c r="J83" s="118">
        <f t="shared" si="11"/>
        <v>0</v>
      </c>
      <c r="K83" s="140"/>
      <c r="L83" s="168">
        <f>'Assumptions Worksheet'!$G93</f>
        <v>0</v>
      </c>
      <c r="M83" s="118">
        <f t="shared" si="26"/>
        <v>0</v>
      </c>
      <c r="N83" s="140"/>
      <c r="O83" s="168">
        <f>'Assumptions Worksheet'!$G93</f>
        <v>0</v>
      </c>
      <c r="P83" s="118">
        <f t="shared" si="27"/>
        <v>0</v>
      </c>
      <c r="Q83" s="140"/>
      <c r="R83" s="153">
        <f t="shared" si="28"/>
        <v>0</v>
      </c>
      <c r="S83" s="118">
        <f t="shared" si="19"/>
        <v>0</v>
      </c>
    </row>
    <row r="84" spans="3:19" s="129" customFormat="1" x14ac:dyDescent="0.2">
      <c r="C84" s="116"/>
      <c r="D84" s="116"/>
      <c r="E84" s="116" t="s">
        <v>93</v>
      </c>
      <c r="F84" s="116"/>
      <c r="G84" s="116"/>
      <c r="H84" s="139"/>
      <c r="I84" s="168">
        <f>'Assumptions Worksheet'!$G94</f>
        <v>500</v>
      </c>
      <c r="J84" s="118">
        <f t="shared" si="11"/>
        <v>4.1175501752899937E-3</v>
      </c>
      <c r="K84" s="140"/>
      <c r="L84" s="168">
        <f>'Assumptions Worksheet'!$G94</f>
        <v>500</v>
      </c>
      <c r="M84" s="118">
        <f t="shared" si="26"/>
        <v>3.5941671801191202E-3</v>
      </c>
      <c r="N84" s="140"/>
      <c r="O84" s="168">
        <f>'Assumptions Worksheet'!$G94</f>
        <v>500</v>
      </c>
      <c r="P84" s="118">
        <f t="shared" si="27"/>
        <v>2.6540485615056796E-3</v>
      </c>
      <c r="Q84" s="140"/>
      <c r="R84" s="153">
        <f t="shared" si="28"/>
        <v>1500</v>
      </c>
      <c r="S84" s="118">
        <f t="shared" si="19"/>
        <v>3.3412249885443712E-3</v>
      </c>
    </row>
    <row r="85" spans="3:19" s="129" customFormat="1" x14ac:dyDescent="0.2">
      <c r="C85" s="116"/>
      <c r="D85" s="116"/>
      <c r="E85" s="116" t="s">
        <v>148</v>
      </c>
      <c r="F85" s="116"/>
      <c r="G85" s="116"/>
      <c r="H85" s="139"/>
      <c r="I85" s="168">
        <f>'Assumptions Worksheet'!$G95</f>
        <v>200</v>
      </c>
      <c r="J85" s="118">
        <f t="shared" si="11"/>
        <v>1.6470200701159973E-3</v>
      </c>
      <c r="K85" s="140"/>
      <c r="L85" s="168">
        <f>'Assumptions Worksheet'!$G95</f>
        <v>200</v>
      </c>
      <c r="M85" s="118">
        <f t="shared" si="26"/>
        <v>1.4376668720476481E-3</v>
      </c>
      <c r="N85" s="140"/>
      <c r="O85" s="168">
        <f>'Assumptions Worksheet'!$G95</f>
        <v>200</v>
      </c>
      <c r="P85" s="118">
        <f t="shared" si="27"/>
        <v>1.0616194246022717E-3</v>
      </c>
      <c r="Q85" s="140"/>
      <c r="R85" s="153">
        <f t="shared" si="28"/>
        <v>600</v>
      </c>
      <c r="S85" s="118">
        <f t="shared" si="19"/>
        <v>1.3364899954177484E-3</v>
      </c>
    </row>
    <row r="86" spans="3:19" s="129" customFormat="1" x14ac:dyDescent="0.2">
      <c r="C86" s="116"/>
      <c r="D86" s="116" t="s">
        <v>24</v>
      </c>
      <c r="E86" s="116"/>
      <c r="F86" s="116"/>
      <c r="G86" s="116"/>
      <c r="H86" s="139"/>
      <c r="I86" s="142">
        <f>SUM(I72:I85)</f>
        <v>6445.7228571428577</v>
      </c>
      <c r="J86" s="143">
        <f t="shared" si="11"/>
        <v>5.3081174560598583E-2</v>
      </c>
      <c r="K86" s="140"/>
      <c r="L86" s="142">
        <f>SUM(L72:L85)</f>
        <v>6860.2285714285708</v>
      </c>
      <c r="M86" s="143">
        <f t="shared" si="26"/>
        <v>4.9313616759088096E-2</v>
      </c>
      <c r="N86" s="140"/>
      <c r="O86" s="142">
        <f>SUM(O72:O85)</f>
        <v>8052.7628571428559</v>
      </c>
      <c r="P86" s="143">
        <f t="shared" si="27"/>
        <v>4.2744847354292723E-2</v>
      </c>
      <c r="Q86" s="140"/>
      <c r="R86" s="142">
        <f>SUM(R72:R85)</f>
        <v>21358.714285714283</v>
      </c>
      <c r="S86" s="143">
        <f t="shared" si="19"/>
        <v>4.7576179929738803E-2</v>
      </c>
    </row>
    <row r="87" spans="3:19" s="129" customFormat="1" ht="3" customHeight="1" x14ac:dyDescent="0.2">
      <c r="C87" s="116"/>
      <c r="D87" s="116"/>
      <c r="E87" s="116"/>
      <c r="F87" s="116"/>
      <c r="G87" s="116"/>
      <c r="H87" s="139"/>
      <c r="I87" s="117"/>
      <c r="J87" s="118"/>
      <c r="K87" s="140"/>
      <c r="L87" s="117"/>
      <c r="M87" s="118"/>
      <c r="N87" s="140"/>
      <c r="O87" s="117"/>
      <c r="P87" s="118"/>
      <c r="Q87" s="140"/>
      <c r="R87" s="117"/>
      <c r="S87" s="118"/>
    </row>
    <row r="88" spans="3:19" s="129" customFormat="1" x14ac:dyDescent="0.2">
      <c r="C88" s="116"/>
      <c r="D88" s="116" t="s">
        <v>55</v>
      </c>
      <c r="E88" s="116"/>
      <c r="F88" s="116"/>
      <c r="G88" s="116"/>
      <c r="H88" s="139"/>
      <c r="I88" s="117"/>
      <c r="J88" s="118"/>
      <c r="K88" s="140"/>
      <c r="L88" s="117"/>
      <c r="M88" s="118"/>
      <c r="N88" s="140"/>
      <c r="O88" s="117"/>
      <c r="P88" s="118"/>
      <c r="Q88" s="140"/>
      <c r="R88" s="117"/>
      <c r="S88" s="118"/>
    </row>
    <row r="89" spans="3:19" s="129" customFormat="1" x14ac:dyDescent="0.2">
      <c r="C89" s="116"/>
      <c r="D89" s="116"/>
      <c r="E89" s="116" t="s">
        <v>56</v>
      </c>
      <c r="F89" s="116"/>
      <c r="G89" s="116"/>
      <c r="H89" s="139"/>
      <c r="I89" s="168">
        <f>'Assumptions Worksheet'!$G99</f>
        <v>600</v>
      </c>
      <c r="J89" s="118">
        <f t="shared" si="11"/>
        <v>4.9410602103479922E-3</v>
      </c>
      <c r="K89" s="140"/>
      <c r="L89" s="168">
        <f>'Assumptions Worksheet'!$G99</f>
        <v>600</v>
      </c>
      <c r="M89" s="118">
        <f t="shared" ref="M89:M92" si="29">L89/L$12</f>
        <v>4.3130006161429448E-3</v>
      </c>
      <c r="N89" s="140"/>
      <c r="O89" s="168">
        <f>'Assumptions Worksheet'!$G99</f>
        <v>600</v>
      </c>
      <c r="P89" s="118">
        <f t="shared" ref="P89:P92" si="30">O89/O$12</f>
        <v>3.1848582738068154E-3</v>
      </c>
      <c r="Q89" s="140"/>
      <c r="R89" s="117">
        <f t="shared" ref="R89:R91" si="31">I89+L89+O89</f>
        <v>1800</v>
      </c>
      <c r="S89" s="118">
        <f t="shared" si="19"/>
        <v>4.0094699862532456E-3</v>
      </c>
    </row>
    <row r="90" spans="3:19" s="129" customFormat="1" x14ac:dyDescent="0.2">
      <c r="C90" s="116"/>
      <c r="D90" s="116"/>
      <c r="E90" s="116" t="s">
        <v>57</v>
      </c>
      <c r="F90" s="116"/>
      <c r="G90" s="116"/>
      <c r="H90" s="139"/>
      <c r="I90" s="168">
        <f>'Assumptions Worksheet'!$G100</f>
        <v>600</v>
      </c>
      <c r="J90" s="118">
        <f t="shared" si="11"/>
        <v>4.9410602103479922E-3</v>
      </c>
      <c r="K90" s="140"/>
      <c r="L90" s="168">
        <f>'Assumptions Worksheet'!$G100</f>
        <v>600</v>
      </c>
      <c r="M90" s="118">
        <f t="shared" si="29"/>
        <v>4.3130006161429448E-3</v>
      </c>
      <c r="N90" s="140"/>
      <c r="O90" s="168">
        <f>'Assumptions Worksheet'!$G100</f>
        <v>600</v>
      </c>
      <c r="P90" s="118">
        <f t="shared" si="30"/>
        <v>3.1848582738068154E-3</v>
      </c>
      <c r="Q90" s="140"/>
      <c r="R90" s="117">
        <f t="shared" si="31"/>
        <v>1800</v>
      </c>
      <c r="S90" s="118">
        <f t="shared" si="19"/>
        <v>4.0094699862532456E-3</v>
      </c>
    </row>
    <row r="91" spans="3:19" s="129" customFormat="1" x14ac:dyDescent="0.2">
      <c r="C91" s="116"/>
      <c r="D91" s="116"/>
      <c r="E91" s="116" t="s">
        <v>58</v>
      </c>
      <c r="F91" s="116"/>
      <c r="G91" s="116"/>
      <c r="H91" s="139"/>
      <c r="I91" s="168">
        <f>'Assumptions Worksheet'!$G101</f>
        <v>600</v>
      </c>
      <c r="J91" s="118">
        <f t="shared" si="11"/>
        <v>4.9410602103479922E-3</v>
      </c>
      <c r="K91" s="140"/>
      <c r="L91" s="168">
        <f>'Assumptions Worksheet'!$G101</f>
        <v>600</v>
      </c>
      <c r="M91" s="118">
        <f t="shared" si="29"/>
        <v>4.3130006161429448E-3</v>
      </c>
      <c r="N91" s="140"/>
      <c r="O91" s="168">
        <f>'Assumptions Worksheet'!$G101</f>
        <v>600</v>
      </c>
      <c r="P91" s="118">
        <f t="shared" si="30"/>
        <v>3.1848582738068154E-3</v>
      </c>
      <c r="Q91" s="140"/>
      <c r="R91" s="117">
        <f t="shared" si="31"/>
        <v>1800</v>
      </c>
      <c r="S91" s="118">
        <f t="shared" si="19"/>
        <v>4.0094699862532456E-3</v>
      </c>
    </row>
    <row r="92" spans="3:19" s="129" customFormat="1" x14ac:dyDescent="0.2">
      <c r="C92" s="116"/>
      <c r="D92" s="116" t="s">
        <v>25</v>
      </c>
      <c r="E92" s="116"/>
      <c r="F92" s="116"/>
      <c r="G92" s="116"/>
      <c r="H92" s="139"/>
      <c r="I92" s="142">
        <f>SUM(I89:I91)</f>
        <v>1800</v>
      </c>
      <c r="J92" s="143">
        <f t="shared" si="11"/>
        <v>1.4823180631043976E-2</v>
      </c>
      <c r="K92" s="140"/>
      <c r="L92" s="142">
        <f>SUM(L89:L91)</f>
        <v>1800</v>
      </c>
      <c r="M92" s="143">
        <f t="shared" si="29"/>
        <v>1.2939001848428833E-2</v>
      </c>
      <c r="N92" s="140"/>
      <c r="O92" s="142">
        <f>SUM(O89:O91)</f>
        <v>1800</v>
      </c>
      <c r="P92" s="143">
        <f t="shared" si="30"/>
        <v>9.554574821420447E-3</v>
      </c>
      <c r="Q92" s="140"/>
      <c r="R92" s="142">
        <f>SUM(R89:R91)</f>
        <v>5400</v>
      </c>
      <c r="S92" s="143">
        <f t="shared" si="19"/>
        <v>1.2028409958759737E-2</v>
      </c>
    </row>
    <row r="93" spans="3:19" s="129" customFormat="1" ht="3" customHeight="1" x14ac:dyDescent="0.2">
      <c r="C93" s="116"/>
      <c r="D93" s="116"/>
      <c r="E93" s="116"/>
      <c r="F93" s="116"/>
      <c r="G93" s="116"/>
      <c r="H93" s="139"/>
      <c r="I93" s="117"/>
      <c r="J93" s="118"/>
      <c r="K93" s="140"/>
      <c r="L93" s="117"/>
      <c r="M93" s="118"/>
      <c r="N93" s="140"/>
      <c r="O93" s="117"/>
      <c r="P93" s="118"/>
      <c r="Q93" s="140"/>
      <c r="R93" s="117"/>
      <c r="S93" s="118"/>
    </row>
    <row r="94" spans="3:19" s="129" customFormat="1" ht="15.75" x14ac:dyDescent="0.2">
      <c r="C94" s="145"/>
      <c r="D94" s="154"/>
      <c r="E94" s="155" t="s">
        <v>149</v>
      </c>
      <c r="F94" s="155"/>
      <c r="G94" s="148"/>
      <c r="H94" s="149"/>
      <c r="I94" s="156">
        <f>I19-I34-I50-I55-I62-I69-I86-I92</f>
        <v>21291.306866666659</v>
      </c>
      <c r="J94" s="151">
        <f>I94/I$12</f>
        <v>0.17533604864199268</v>
      </c>
      <c r="K94" s="157"/>
      <c r="L94" s="156">
        <f>L19-L34-L50-L55-L62-L69-L86-L92</f>
        <v>32122.529666666691</v>
      </c>
      <c r="M94" s="151">
        <f>L94/L$12</f>
        <v>0.23090748374067241</v>
      </c>
      <c r="N94" s="157"/>
      <c r="O94" s="156">
        <f>O19-O34-O50-O55-O62-O69-O86-O92</f>
        <v>61754.074066666661</v>
      </c>
      <c r="P94" s="151">
        <f>O94/O$12</f>
        <v>0.32779662288750366</v>
      </c>
      <c r="Q94" s="157"/>
      <c r="R94" s="156">
        <f>R19-R34-R50-R55-R62-R69-R86-R92</f>
        <v>115167.91060000006</v>
      </c>
      <c r="S94" s="151">
        <f>R94/R$12</f>
        <v>0.25653460051677623</v>
      </c>
    </row>
    <row r="95" spans="3:19" s="129" customFormat="1" ht="3" customHeight="1" x14ac:dyDescent="0.2">
      <c r="C95" s="116"/>
      <c r="D95" s="116"/>
      <c r="E95" s="116"/>
      <c r="F95" s="116"/>
      <c r="G95" s="116"/>
      <c r="H95" s="116"/>
      <c r="I95" s="116"/>
      <c r="J95" s="116"/>
      <c r="K95" s="116"/>
      <c r="L95" s="116"/>
      <c r="M95" s="116"/>
      <c r="N95" s="116"/>
      <c r="O95" s="116"/>
      <c r="P95" s="116"/>
      <c r="Q95" s="116"/>
      <c r="R95" s="116"/>
      <c r="S95" s="116"/>
    </row>
    <row r="96" spans="3:19" s="129" customFormat="1" ht="15.75" x14ac:dyDescent="0.2">
      <c r="C96" s="121" t="s">
        <v>150</v>
      </c>
      <c r="D96" s="116"/>
      <c r="E96" s="116"/>
      <c r="F96" s="116"/>
      <c r="G96" s="116"/>
      <c r="H96" s="116"/>
      <c r="I96" s="116"/>
      <c r="J96" s="116"/>
      <c r="K96" s="116"/>
      <c r="L96" s="116"/>
      <c r="M96" s="116"/>
      <c r="N96" s="116"/>
      <c r="O96" s="116"/>
      <c r="P96" s="116"/>
      <c r="Q96" s="116"/>
      <c r="R96" s="116"/>
      <c r="S96" s="116"/>
    </row>
    <row r="97" spans="3:19" s="129" customFormat="1" x14ac:dyDescent="0.2">
      <c r="C97" s="116"/>
      <c r="D97" s="116" t="s">
        <v>26</v>
      </c>
      <c r="E97" s="116"/>
      <c r="F97" s="116"/>
      <c r="G97" s="116"/>
      <c r="H97" s="116"/>
      <c r="I97" s="117"/>
      <c r="J97" s="118"/>
      <c r="K97" s="140"/>
      <c r="L97" s="117"/>
      <c r="M97" s="118"/>
      <c r="N97" s="140"/>
      <c r="O97" s="117"/>
      <c r="P97" s="118"/>
      <c r="Q97" s="140"/>
      <c r="R97" s="117"/>
      <c r="S97" s="118"/>
    </row>
    <row r="98" spans="3:19" s="129" customFormat="1" x14ac:dyDescent="0.2">
      <c r="C98" s="116"/>
      <c r="D98" s="116"/>
      <c r="E98" s="116" t="s">
        <v>151</v>
      </c>
      <c r="F98" s="116"/>
      <c r="G98" s="116"/>
      <c r="H98" s="116"/>
      <c r="I98" s="168">
        <f>'Assumptions Worksheet'!$G105</f>
        <v>10000</v>
      </c>
      <c r="J98" s="118">
        <f t="shared" ref="J98:J105" si="32">I98/I$12</f>
        <v>8.2351003505799866E-2</v>
      </c>
      <c r="K98" s="140"/>
      <c r="L98" s="168">
        <f>'Assumptions Worksheet'!$G105</f>
        <v>10000</v>
      </c>
      <c r="M98" s="118">
        <f t="shared" ref="M98:M105" si="33">L98/L$12</f>
        <v>7.188334360238241E-2</v>
      </c>
      <c r="N98" s="140"/>
      <c r="O98" s="168">
        <f>'Assumptions Worksheet'!$G105</f>
        <v>10000</v>
      </c>
      <c r="P98" s="118">
        <f t="shared" ref="P98:P105" si="34">O98/O$12</f>
        <v>5.3080971230113592E-2</v>
      </c>
      <c r="Q98" s="140"/>
      <c r="R98" s="117">
        <f t="shared" ref="R98:R104" si="35">I98+L98+O98</f>
        <v>30000</v>
      </c>
      <c r="S98" s="118">
        <f t="shared" ref="S98:S122" si="36">R98/R$12</f>
        <v>6.6824499770887419E-2</v>
      </c>
    </row>
    <row r="99" spans="3:19" s="129" customFormat="1" x14ac:dyDescent="0.2">
      <c r="C99" s="116"/>
      <c r="D99" s="116"/>
      <c r="E99" s="129" t="s">
        <v>53</v>
      </c>
      <c r="F99" s="116"/>
      <c r="G99" s="116"/>
      <c r="H99" s="116"/>
      <c r="I99" s="168">
        <f>'Assumptions Worksheet'!$G106</f>
        <v>1000</v>
      </c>
      <c r="J99" s="118">
        <f t="shared" si="32"/>
        <v>8.2351003505799873E-3</v>
      </c>
      <c r="K99" s="140"/>
      <c r="L99" s="168">
        <f>'Assumptions Worksheet'!$G106</f>
        <v>1000</v>
      </c>
      <c r="M99" s="118">
        <f t="shared" si="33"/>
        <v>7.1883343602382405E-3</v>
      </c>
      <c r="N99" s="140"/>
      <c r="O99" s="168">
        <f>'Assumptions Worksheet'!$G106</f>
        <v>1000</v>
      </c>
      <c r="P99" s="118">
        <f t="shared" si="34"/>
        <v>5.3080971230113592E-3</v>
      </c>
      <c r="Q99" s="140"/>
      <c r="R99" s="117">
        <f t="shared" si="35"/>
        <v>3000</v>
      </c>
      <c r="S99" s="118">
        <f t="shared" si="36"/>
        <v>6.6824499770887424E-3</v>
      </c>
    </row>
    <row r="100" spans="3:19" s="129" customFormat="1" x14ac:dyDescent="0.2">
      <c r="C100" s="116"/>
      <c r="D100" s="116"/>
      <c r="E100" s="129" t="s">
        <v>36</v>
      </c>
      <c r="F100" s="116"/>
      <c r="G100" s="116"/>
      <c r="H100" s="116"/>
      <c r="I100" s="168">
        <f>'Assumptions Worksheet'!$G107</f>
        <v>0</v>
      </c>
      <c r="J100" s="118">
        <f t="shared" si="32"/>
        <v>0</v>
      </c>
      <c r="K100" s="140"/>
      <c r="L100" s="168">
        <f>'Assumptions Worksheet'!$G107</f>
        <v>0</v>
      </c>
      <c r="M100" s="118">
        <f t="shared" si="33"/>
        <v>0</v>
      </c>
      <c r="N100" s="140"/>
      <c r="O100" s="168">
        <f>'Assumptions Worksheet'!$G107</f>
        <v>0</v>
      </c>
      <c r="P100" s="118">
        <f t="shared" si="34"/>
        <v>0</v>
      </c>
      <c r="Q100" s="140"/>
      <c r="R100" s="117">
        <f t="shared" si="35"/>
        <v>0</v>
      </c>
      <c r="S100" s="118">
        <f t="shared" si="36"/>
        <v>0</v>
      </c>
    </row>
    <row r="101" spans="3:19" s="129" customFormat="1" x14ac:dyDescent="0.2">
      <c r="C101" s="116"/>
      <c r="D101" s="116"/>
      <c r="E101" s="129" t="s">
        <v>54</v>
      </c>
      <c r="F101" s="116"/>
      <c r="G101" s="116"/>
      <c r="H101" s="116"/>
      <c r="I101" s="168">
        <f>'Assumptions Worksheet'!$G108</f>
        <v>1000</v>
      </c>
      <c r="J101" s="118">
        <f t="shared" si="32"/>
        <v>8.2351003505799873E-3</v>
      </c>
      <c r="K101" s="140"/>
      <c r="L101" s="168">
        <f>'Assumptions Worksheet'!$G108</f>
        <v>1000</v>
      </c>
      <c r="M101" s="118">
        <f t="shared" si="33"/>
        <v>7.1883343602382405E-3</v>
      </c>
      <c r="N101" s="140"/>
      <c r="O101" s="168">
        <f>'Assumptions Worksheet'!$G108</f>
        <v>1000</v>
      </c>
      <c r="P101" s="118">
        <f t="shared" si="34"/>
        <v>5.3080971230113592E-3</v>
      </c>
      <c r="Q101" s="140"/>
      <c r="R101" s="117">
        <f t="shared" si="35"/>
        <v>3000</v>
      </c>
      <c r="S101" s="118">
        <f t="shared" si="36"/>
        <v>6.6824499770887424E-3</v>
      </c>
    </row>
    <row r="102" spans="3:19" s="129" customFormat="1" x14ac:dyDescent="0.2">
      <c r="C102" s="116"/>
      <c r="D102" s="116"/>
      <c r="E102" s="129" t="s">
        <v>37</v>
      </c>
      <c r="F102" s="116"/>
      <c r="G102" s="116"/>
      <c r="H102" s="116"/>
      <c r="I102" s="168">
        <f>'Assumptions Worksheet'!$G109</f>
        <v>200</v>
      </c>
      <c r="J102" s="118">
        <f t="shared" si="32"/>
        <v>1.6470200701159973E-3</v>
      </c>
      <c r="K102" s="140"/>
      <c r="L102" s="168">
        <f>'Assumptions Worksheet'!$G109</f>
        <v>200</v>
      </c>
      <c r="M102" s="118">
        <f t="shared" si="33"/>
        <v>1.4376668720476481E-3</v>
      </c>
      <c r="N102" s="140"/>
      <c r="O102" s="168">
        <f>'Assumptions Worksheet'!$G109</f>
        <v>200</v>
      </c>
      <c r="P102" s="118">
        <f t="shared" si="34"/>
        <v>1.0616194246022717E-3</v>
      </c>
      <c r="Q102" s="140"/>
      <c r="R102" s="117">
        <f t="shared" si="35"/>
        <v>600</v>
      </c>
      <c r="S102" s="118">
        <f t="shared" si="36"/>
        <v>1.3364899954177484E-3</v>
      </c>
    </row>
    <row r="103" spans="3:19" s="129" customFormat="1" x14ac:dyDescent="0.2">
      <c r="C103" s="116"/>
      <c r="D103" s="116"/>
      <c r="E103" s="129" t="s">
        <v>38</v>
      </c>
      <c r="F103" s="116"/>
      <c r="G103" s="116"/>
      <c r="H103" s="116"/>
      <c r="I103" s="168">
        <f>'Assumptions Worksheet'!$G110</f>
        <v>900</v>
      </c>
      <c r="J103" s="118">
        <f t="shared" si="32"/>
        <v>7.4115903155219879E-3</v>
      </c>
      <c r="K103" s="140"/>
      <c r="L103" s="168">
        <f>'Assumptions Worksheet'!$G110</f>
        <v>900</v>
      </c>
      <c r="M103" s="118">
        <f t="shared" si="33"/>
        <v>6.4695009242144164E-3</v>
      </c>
      <c r="N103" s="140"/>
      <c r="O103" s="168">
        <f>'Assumptions Worksheet'!$G110</f>
        <v>900</v>
      </c>
      <c r="P103" s="118">
        <f t="shared" si="34"/>
        <v>4.7772874107102235E-3</v>
      </c>
      <c r="Q103" s="140"/>
      <c r="R103" s="117">
        <f t="shared" si="35"/>
        <v>2700</v>
      </c>
      <c r="S103" s="118">
        <f t="shared" si="36"/>
        <v>6.0142049793798684E-3</v>
      </c>
    </row>
    <row r="104" spans="3:19" s="129" customFormat="1" x14ac:dyDescent="0.2">
      <c r="C104" s="116"/>
      <c r="D104" s="116"/>
      <c r="E104" s="129" t="s">
        <v>39</v>
      </c>
      <c r="F104" s="116"/>
      <c r="G104" s="116"/>
      <c r="H104" s="116"/>
      <c r="I104" s="168">
        <f>'Assumptions Worksheet'!$G111</f>
        <v>300</v>
      </c>
      <c r="J104" s="118">
        <f t="shared" si="32"/>
        <v>2.4705301051739961E-3</v>
      </c>
      <c r="K104" s="140"/>
      <c r="L104" s="168">
        <f>'Assumptions Worksheet'!$G111</f>
        <v>300</v>
      </c>
      <c r="M104" s="118">
        <f t="shared" si="33"/>
        <v>2.1565003080714724E-3</v>
      </c>
      <c r="N104" s="140"/>
      <c r="O104" s="168">
        <f>'Assumptions Worksheet'!$G111</f>
        <v>300</v>
      </c>
      <c r="P104" s="118">
        <f t="shared" si="34"/>
        <v>1.5924291369034077E-3</v>
      </c>
      <c r="Q104" s="140"/>
      <c r="R104" s="117">
        <f t="shared" si="35"/>
        <v>900</v>
      </c>
      <c r="S104" s="118">
        <f t="shared" si="36"/>
        <v>2.0047349931266228E-3</v>
      </c>
    </row>
    <row r="105" spans="3:19" s="129" customFormat="1" x14ac:dyDescent="0.2">
      <c r="C105" s="116"/>
      <c r="D105" s="116" t="s">
        <v>27</v>
      </c>
      <c r="E105" s="116"/>
      <c r="F105" s="116"/>
      <c r="G105" s="116"/>
      <c r="H105" s="116"/>
      <c r="I105" s="142">
        <f>SUM(I98:I104)</f>
        <v>13400</v>
      </c>
      <c r="J105" s="143">
        <f t="shared" si="32"/>
        <v>0.11035034469777183</v>
      </c>
      <c r="K105" s="140"/>
      <c r="L105" s="142">
        <f>SUM(L98:L104)</f>
        <v>13400</v>
      </c>
      <c r="M105" s="143">
        <f t="shared" si="33"/>
        <v>9.6323680427192429E-2</v>
      </c>
      <c r="N105" s="140"/>
      <c r="O105" s="142">
        <f>SUM(O98:O104)</f>
        <v>13400</v>
      </c>
      <c r="P105" s="143">
        <f t="shared" si="34"/>
        <v>7.1128501448352213E-2</v>
      </c>
      <c r="Q105" s="140"/>
      <c r="R105" s="142">
        <f>SUM(R98:R104)</f>
        <v>40200</v>
      </c>
      <c r="S105" s="143">
        <f t="shared" si="36"/>
        <v>8.9544829692989145E-2</v>
      </c>
    </row>
    <row r="106" spans="3:19" s="129" customFormat="1" ht="3" customHeight="1" x14ac:dyDescent="0.2">
      <c r="C106" s="116"/>
      <c r="D106" s="116"/>
      <c r="E106" s="116"/>
      <c r="F106" s="116"/>
      <c r="G106" s="116"/>
      <c r="H106" s="116"/>
      <c r="I106" s="117"/>
      <c r="J106" s="118"/>
      <c r="K106" s="140"/>
      <c r="L106" s="117"/>
      <c r="M106" s="118"/>
      <c r="N106" s="140"/>
      <c r="O106" s="117"/>
      <c r="P106" s="118"/>
      <c r="Q106" s="140"/>
      <c r="R106" s="117"/>
      <c r="S106" s="118"/>
    </row>
    <row r="107" spans="3:19" s="129" customFormat="1" x14ac:dyDescent="0.2">
      <c r="C107" s="116"/>
      <c r="D107" s="116" t="s">
        <v>164</v>
      </c>
      <c r="E107" s="116"/>
      <c r="F107" s="116"/>
      <c r="G107" s="116"/>
      <c r="H107" s="116"/>
      <c r="I107" s="117"/>
      <c r="J107" s="118"/>
      <c r="K107" s="140"/>
      <c r="L107" s="117"/>
      <c r="M107" s="118"/>
      <c r="N107" s="140"/>
      <c r="O107" s="117"/>
      <c r="P107" s="118"/>
      <c r="Q107" s="140"/>
      <c r="R107" s="117"/>
      <c r="S107" s="118"/>
    </row>
    <row r="108" spans="3:19" s="129" customFormat="1" x14ac:dyDescent="0.2">
      <c r="C108" s="116"/>
      <c r="D108" s="116"/>
      <c r="E108" s="129" t="s">
        <v>152</v>
      </c>
      <c r="F108" s="116"/>
      <c r="G108" s="116"/>
      <c r="H108" s="116"/>
      <c r="I108" s="168">
        <f>'Assumptions Worksheet'!$G115</f>
        <v>0</v>
      </c>
      <c r="J108" s="118">
        <f>I108/I$12</f>
        <v>0</v>
      </c>
      <c r="K108" s="140"/>
      <c r="L108" s="168">
        <f>'Assumptions Worksheet'!$G115</f>
        <v>0</v>
      </c>
      <c r="M108" s="118">
        <f>L108/L$12</f>
        <v>0</v>
      </c>
      <c r="N108" s="140"/>
      <c r="O108" s="168">
        <f>'Assumptions Worksheet'!$G115</f>
        <v>0</v>
      </c>
      <c r="P108" s="118">
        <f>O108/O$12</f>
        <v>0</v>
      </c>
      <c r="Q108" s="140"/>
      <c r="R108" s="117">
        <f t="shared" ref="R108:R111" si="37">I108+L108+O108</f>
        <v>0</v>
      </c>
      <c r="S108" s="118">
        <f t="shared" si="36"/>
        <v>0</v>
      </c>
    </row>
    <row r="109" spans="3:19" s="129" customFormat="1" x14ac:dyDescent="0.2">
      <c r="C109" s="116"/>
      <c r="D109" s="116"/>
      <c r="E109" s="129" t="s">
        <v>153</v>
      </c>
      <c r="F109" s="116"/>
      <c r="G109" s="116"/>
      <c r="H109" s="116"/>
      <c r="I109" s="168">
        <f>'Assumptions Worksheet'!$G116</f>
        <v>300</v>
      </c>
      <c r="J109" s="118">
        <f>I109/I$12</f>
        <v>2.4705301051739961E-3</v>
      </c>
      <c r="K109" s="140"/>
      <c r="L109" s="168">
        <f>'Assumptions Worksheet'!$G116</f>
        <v>300</v>
      </c>
      <c r="M109" s="118">
        <f>L109/L$12</f>
        <v>2.1565003080714724E-3</v>
      </c>
      <c r="N109" s="140"/>
      <c r="O109" s="168">
        <f>'Assumptions Worksheet'!$G116</f>
        <v>300</v>
      </c>
      <c r="P109" s="118">
        <f>O109/O$12</f>
        <v>1.5924291369034077E-3</v>
      </c>
      <c r="Q109" s="140"/>
      <c r="R109" s="117">
        <f t="shared" si="37"/>
        <v>900</v>
      </c>
      <c r="S109" s="118">
        <f t="shared" si="36"/>
        <v>2.0047349931266228E-3</v>
      </c>
    </row>
    <row r="110" spans="3:19" s="129" customFormat="1" x14ac:dyDescent="0.2">
      <c r="C110" s="116"/>
      <c r="D110" s="116"/>
      <c r="E110" s="129" t="s">
        <v>154</v>
      </c>
      <c r="F110" s="116"/>
      <c r="G110" s="116"/>
      <c r="H110" s="116"/>
      <c r="I110" s="168">
        <f>'Assumptions Worksheet'!$G117</f>
        <v>200</v>
      </c>
      <c r="J110" s="118">
        <f>I110/I$12</f>
        <v>1.6470200701159973E-3</v>
      </c>
      <c r="K110" s="140"/>
      <c r="L110" s="168">
        <f>'Assumptions Worksheet'!$G117</f>
        <v>200</v>
      </c>
      <c r="M110" s="118">
        <f>L110/L$12</f>
        <v>1.4376668720476481E-3</v>
      </c>
      <c r="N110" s="140"/>
      <c r="O110" s="168">
        <f>'Assumptions Worksheet'!$G117</f>
        <v>200</v>
      </c>
      <c r="P110" s="118">
        <f>O110/O$12</f>
        <v>1.0616194246022717E-3</v>
      </c>
      <c r="Q110" s="140"/>
      <c r="R110" s="117">
        <f t="shared" si="37"/>
        <v>600</v>
      </c>
      <c r="S110" s="118">
        <f t="shared" si="36"/>
        <v>1.3364899954177484E-3</v>
      </c>
    </row>
    <row r="111" spans="3:19" s="129" customFormat="1" x14ac:dyDescent="0.2">
      <c r="C111" s="116"/>
      <c r="D111" s="116"/>
      <c r="E111" s="129" t="s">
        <v>155</v>
      </c>
      <c r="F111" s="116"/>
      <c r="G111" s="116"/>
      <c r="H111" s="116"/>
      <c r="I111" s="168">
        <f>'Assumptions Worksheet'!$G118</f>
        <v>100</v>
      </c>
      <c r="J111" s="118">
        <f>I111/I$12</f>
        <v>8.2351003505799867E-4</v>
      </c>
      <c r="K111" s="140"/>
      <c r="L111" s="168">
        <f>'Assumptions Worksheet'!$G118</f>
        <v>100</v>
      </c>
      <c r="M111" s="118">
        <f>L111/L$12</f>
        <v>7.1883343602382403E-4</v>
      </c>
      <c r="N111" s="140"/>
      <c r="O111" s="168">
        <f>'Assumptions Worksheet'!$G118</f>
        <v>100</v>
      </c>
      <c r="P111" s="118">
        <f>O111/O$12</f>
        <v>5.3080971230113586E-4</v>
      </c>
      <c r="Q111" s="140"/>
      <c r="R111" s="117">
        <f t="shared" si="37"/>
        <v>300</v>
      </c>
      <c r="S111" s="118">
        <f t="shared" si="36"/>
        <v>6.682449977088742E-4</v>
      </c>
    </row>
    <row r="112" spans="3:19" s="129" customFormat="1" x14ac:dyDescent="0.2">
      <c r="C112" s="116"/>
      <c r="D112" s="116" t="s">
        <v>156</v>
      </c>
      <c r="E112" s="116"/>
      <c r="F112" s="116"/>
      <c r="G112" s="116"/>
      <c r="H112" s="116"/>
      <c r="I112" s="142">
        <f>SUM(I108:I111)</f>
        <v>600</v>
      </c>
      <c r="J112" s="143">
        <f>I112/I$12</f>
        <v>4.9410602103479922E-3</v>
      </c>
      <c r="K112" s="140"/>
      <c r="L112" s="142">
        <f>SUM(L108:L111)</f>
        <v>600</v>
      </c>
      <c r="M112" s="143">
        <f>L112/L$12</f>
        <v>4.3130006161429448E-3</v>
      </c>
      <c r="N112" s="140"/>
      <c r="O112" s="142">
        <f>SUM(O108:O111)</f>
        <v>600</v>
      </c>
      <c r="P112" s="143">
        <f>O112/O$12</f>
        <v>3.1848582738068154E-3</v>
      </c>
      <c r="Q112" s="140"/>
      <c r="R112" s="142">
        <f>SUM(R108:R111)</f>
        <v>1800</v>
      </c>
      <c r="S112" s="143">
        <f t="shared" si="36"/>
        <v>4.0094699862532456E-3</v>
      </c>
    </row>
    <row r="113" spans="3:19" s="129" customFormat="1" ht="6" customHeight="1" x14ac:dyDescent="0.2">
      <c r="C113" s="116"/>
      <c r="D113" s="116"/>
      <c r="E113" s="116"/>
      <c r="F113" s="116"/>
      <c r="G113" s="116"/>
      <c r="H113" s="116"/>
      <c r="I113" s="117"/>
      <c r="J113" s="118"/>
      <c r="K113" s="140"/>
      <c r="L113" s="117"/>
      <c r="M113" s="118"/>
      <c r="N113" s="140"/>
      <c r="O113" s="117"/>
      <c r="P113" s="118"/>
      <c r="Q113" s="140"/>
      <c r="R113" s="117"/>
      <c r="S113" s="118"/>
    </row>
    <row r="114" spans="3:19" s="129" customFormat="1" x14ac:dyDescent="0.2">
      <c r="C114" s="116"/>
      <c r="D114" s="116"/>
      <c r="E114" s="116" t="s">
        <v>157</v>
      </c>
      <c r="F114" s="116"/>
      <c r="G114" s="116"/>
      <c r="H114" s="116"/>
      <c r="I114" s="152">
        <f>I112+I105</f>
        <v>14000</v>
      </c>
      <c r="J114" s="158">
        <f>I114/I$12</f>
        <v>0.11529140490811982</v>
      </c>
      <c r="K114" s="140"/>
      <c r="L114" s="152">
        <f>L112+L105</f>
        <v>14000</v>
      </c>
      <c r="M114" s="158">
        <f>L114/L$12</f>
        <v>0.10063668104333537</v>
      </c>
      <c r="N114" s="140"/>
      <c r="O114" s="152">
        <f>O112+O105</f>
        <v>14000</v>
      </c>
      <c r="P114" s="158">
        <f>O114/O$12</f>
        <v>7.4313359722159023E-2</v>
      </c>
      <c r="Q114" s="140"/>
      <c r="R114" s="152">
        <f>R112+R105</f>
        <v>42000</v>
      </c>
      <c r="S114" s="158">
        <f t="shared" si="36"/>
        <v>9.3554299679242392E-2</v>
      </c>
    </row>
    <row r="115" spans="3:19" s="129" customFormat="1" ht="8.25" customHeight="1" x14ac:dyDescent="0.2">
      <c r="C115" s="116"/>
      <c r="D115" s="116"/>
      <c r="E115" s="116"/>
      <c r="F115" s="116"/>
      <c r="G115" s="116"/>
      <c r="H115" s="116"/>
      <c r="I115" s="116"/>
      <c r="J115" s="116"/>
      <c r="K115" s="116"/>
      <c r="L115" s="116"/>
      <c r="M115" s="116"/>
      <c r="N115" s="116"/>
      <c r="O115" s="116"/>
      <c r="P115" s="116"/>
      <c r="Q115" s="116"/>
      <c r="R115" s="116"/>
      <c r="S115" s="116"/>
    </row>
    <row r="116" spans="3:19" s="129" customFormat="1" ht="3" customHeight="1" x14ac:dyDescent="0.2">
      <c r="C116" s="116"/>
      <c r="D116" s="116"/>
      <c r="E116" s="116"/>
      <c r="F116" s="116"/>
      <c r="G116" s="116"/>
      <c r="H116" s="116"/>
      <c r="I116" s="116"/>
      <c r="J116" s="116"/>
      <c r="K116" s="116"/>
      <c r="L116" s="116"/>
      <c r="M116" s="116"/>
      <c r="N116" s="116"/>
      <c r="O116" s="116"/>
      <c r="P116" s="116"/>
      <c r="Q116" s="116"/>
      <c r="R116" s="116"/>
      <c r="S116" s="116"/>
    </row>
    <row r="117" spans="3:19" s="129" customFormat="1" x14ac:dyDescent="0.2">
      <c r="C117" s="116"/>
      <c r="D117" s="116" t="s">
        <v>158</v>
      </c>
      <c r="E117" s="116"/>
      <c r="F117" s="116"/>
      <c r="G117" s="116"/>
      <c r="H117" s="116"/>
      <c r="I117" s="117"/>
      <c r="J117" s="118"/>
      <c r="K117" s="116"/>
      <c r="L117" s="117"/>
      <c r="M117" s="118"/>
      <c r="N117" s="116"/>
      <c r="O117" s="117"/>
      <c r="P117" s="118"/>
      <c r="Q117" s="116"/>
      <c r="R117" s="116"/>
      <c r="S117" s="116"/>
    </row>
    <row r="118" spans="3:19" s="129" customFormat="1" x14ac:dyDescent="0.2">
      <c r="C118" s="116"/>
      <c r="D118" s="116"/>
      <c r="E118" s="116" t="s">
        <v>190</v>
      </c>
      <c r="F118" s="116"/>
      <c r="G118" s="116"/>
      <c r="H118" s="116"/>
      <c r="I118" s="168">
        <f>'Assumptions Worksheet'!$G122</f>
        <v>100</v>
      </c>
      <c r="J118" s="118">
        <f t="shared" ref="J118:J122" si="38">I118/I$12</f>
        <v>8.2351003505799867E-4</v>
      </c>
      <c r="K118" s="140"/>
      <c r="L118" s="168">
        <f>'Assumptions Worksheet'!$G122</f>
        <v>100</v>
      </c>
      <c r="M118" s="118">
        <f t="shared" ref="M118:M122" si="39">L118/L$12</f>
        <v>7.1883343602382403E-4</v>
      </c>
      <c r="N118" s="140"/>
      <c r="O118" s="168">
        <f>'Assumptions Worksheet'!$G122</f>
        <v>100</v>
      </c>
      <c r="P118" s="118">
        <f t="shared" ref="P118:P122" si="40">O118/O$12</f>
        <v>5.3080971230113586E-4</v>
      </c>
      <c r="Q118" s="140"/>
      <c r="R118" s="117">
        <f t="shared" ref="R118:R121" si="41">I118+L118+O118</f>
        <v>300</v>
      </c>
      <c r="S118" s="118">
        <f t="shared" si="36"/>
        <v>6.682449977088742E-4</v>
      </c>
    </row>
    <row r="119" spans="3:19" s="129" customFormat="1" x14ac:dyDescent="0.2">
      <c r="C119" s="116"/>
      <c r="D119" s="116"/>
      <c r="E119" s="116" t="s">
        <v>159</v>
      </c>
      <c r="F119" s="116"/>
      <c r="G119" s="116"/>
      <c r="H119" s="116"/>
      <c r="I119" s="168">
        <f>'Assumptions Worksheet'!$G123</f>
        <v>0</v>
      </c>
      <c r="J119" s="118">
        <f t="shared" si="38"/>
        <v>0</v>
      </c>
      <c r="K119" s="140"/>
      <c r="L119" s="168">
        <f>'Assumptions Worksheet'!$G123</f>
        <v>0</v>
      </c>
      <c r="M119" s="118">
        <f t="shared" si="39"/>
        <v>0</v>
      </c>
      <c r="N119" s="140"/>
      <c r="O119" s="168">
        <f>'Assumptions Worksheet'!$G123</f>
        <v>0</v>
      </c>
      <c r="P119" s="118">
        <f t="shared" si="40"/>
        <v>0</v>
      </c>
      <c r="Q119" s="140"/>
      <c r="R119" s="117">
        <f t="shared" si="41"/>
        <v>0</v>
      </c>
      <c r="S119" s="118">
        <f t="shared" si="36"/>
        <v>0</v>
      </c>
    </row>
    <row r="120" spans="3:19" s="129" customFormat="1" x14ac:dyDescent="0.2">
      <c r="C120" s="116"/>
      <c r="D120" s="116"/>
      <c r="E120" s="116" t="s">
        <v>160</v>
      </c>
      <c r="F120" s="116"/>
      <c r="G120" s="116"/>
      <c r="H120" s="116"/>
      <c r="I120" s="168">
        <f>'Assumptions Worksheet'!$G124</f>
        <v>200</v>
      </c>
      <c r="J120" s="118">
        <f t="shared" si="38"/>
        <v>1.6470200701159973E-3</v>
      </c>
      <c r="K120" s="140"/>
      <c r="L120" s="168">
        <f>'Assumptions Worksheet'!$G124</f>
        <v>200</v>
      </c>
      <c r="M120" s="118">
        <f t="shared" si="39"/>
        <v>1.4376668720476481E-3</v>
      </c>
      <c r="N120" s="140"/>
      <c r="O120" s="168">
        <f>'Assumptions Worksheet'!$G124</f>
        <v>200</v>
      </c>
      <c r="P120" s="118">
        <f t="shared" si="40"/>
        <v>1.0616194246022717E-3</v>
      </c>
      <c r="Q120" s="140"/>
      <c r="R120" s="117">
        <f t="shared" si="41"/>
        <v>600</v>
      </c>
      <c r="S120" s="118">
        <f t="shared" si="36"/>
        <v>1.3364899954177484E-3</v>
      </c>
    </row>
    <row r="121" spans="3:19" s="129" customFormat="1" x14ac:dyDescent="0.2">
      <c r="C121" s="116"/>
      <c r="D121" s="116"/>
      <c r="E121" s="116" t="s">
        <v>59</v>
      </c>
      <c r="F121" s="116"/>
      <c r="G121" s="116"/>
      <c r="H121" s="116"/>
      <c r="I121" s="168">
        <f>'Assumptions Worksheet'!$G125</f>
        <v>50</v>
      </c>
      <c r="J121" s="118">
        <f t="shared" si="38"/>
        <v>4.1175501752899933E-4</v>
      </c>
      <c r="K121" s="140"/>
      <c r="L121" s="168">
        <f>'Assumptions Worksheet'!$G125</f>
        <v>50</v>
      </c>
      <c r="M121" s="118">
        <f t="shared" si="39"/>
        <v>3.5941671801191201E-4</v>
      </c>
      <c r="N121" s="140"/>
      <c r="O121" s="168">
        <f>'Assumptions Worksheet'!$G125</f>
        <v>50</v>
      </c>
      <c r="P121" s="118">
        <f t="shared" si="40"/>
        <v>2.6540485615056793E-4</v>
      </c>
      <c r="Q121" s="140"/>
      <c r="R121" s="117">
        <f t="shared" si="41"/>
        <v>150</v>
      </c>
      <c r="S121" s="118">
        <f t="shared" si="36"/>
        <v>3.341224988544371E-4</v>
      </c>
    </row>
    <row r="122" spans="3:19" s="129" customFormat="1" x14ac:dyDescent="0.2">
      <c r="C122" s="116"/>
      <c r="D122" s="116" t="s">
        <v>161</v>
      </c>
      <c r="E122" s="116"/>
      <c r="F122" s="116"/>
      <c r="G122" s="116"/>
      <c r="H122" s="116"/>
      <c r="I122" s="142">
        <f>SUM(I118:I121)</f>
        <v>350</v>
      </c>
      <c r="J122" s="143">
        <f t="shared" si="38"/>
        <v>2.8822851227029954E-3</v>
      </c>
      <c r="K122" s="140"/>
      <c r="L122" s="142">
        <f>SUM(L118:L121)</f>
        <v>350</v>
      </c>
      <c r="M122" s="143">
        <f t="shared" si="39"/>
        <v>2.515917026083384E-3</v>
      </c>
      <c r="N122" s="140"/>
      <c r="O122" s="142">
        <f>SUM(O118:O121)</f>
        <v>350</v>
      </c>
      <c r="P122" s="143">
        <f t="shared" si="40"/>
        <v>1.8578339930539758E-3</v>
      </c>
      <c r="Q122" s="140"/>
      <c r="R122" s="142">
        <f>SUM(R118:R121)</f>
        <v>1050</v>
      </c>
      <c r="S122" s="143">
        <f t="shared" si="36"/>
        <v>2.3388574919810598E-3</v>
      </c>
    </row>
    <row r="123" spans="3:19" s="129" customFormat="1" ht="3" customHeight="1" x14ac:dyDescent="0.2">
      <c r="C123" s="116"/>
      <c r="D123" s="116"/>
      <c r="E123" s="116"/>
      <c r="F123" s="116"/>
      <c r="G123" s="116"/>
      <c r="H123" s="116"/>
      <c r="I123" s="116"/>
      <c r="J123" s="116"/>
      <c r="K123" s="116"/>
      <c r="L123" s="116"/>
      <c r="M123" s="116"/>
      <c r="N123" s="116"/>
      <c r="O123" s="116"/>
      <c r="P123" s="116"/>
      <c r="Q123" s="116"/>
      <c r="R123" s="116"/>
      <c r="S123" s="116"/>
    </row>
    <row r="124" spans="3:19" s="129" customFormat="1" ht="6.75" customHeight="1" x14ac:dyDescent="0.2">
      <c r="C124" s="116"/>
      <c r="D124" s="116"/>
      <c r="E124" s="116"/>
      <c r="F124" s="116"/>
      <c r="G124" s="116"/>
      <c r="H124" s="116"/>
      <c r="I124" s="116"/>
      <c r="J124" s="116"/>
      <c r="K124" s="116"/>
      <c r="L124" s="116"/>
      <c r="M124" s="116"/>
      <c r="N124" s="116"/>
      <c r="O124" s="116"/>
      <c r="P124" s="116"/>
      <c r="Q124" s="116"/>
      <c r="R124" s="116"/>
      <c r="S124" s="116"/>
    </row>
    <row r="125" spans="3:19" s="129" customFormat="1" ht="16.5" thickBot="1" x14ac:dyDescent="0.25">
      <c r="C125" s="155" t="s">
        <v>162</v>
      </c>
      <c r="D125" s="148"/>
      <c r="E125" s="148"/>
      <c r="F125" s="145"/>
      <c r="G125" s="145"/>
      <c r="H125" s="148"/>
      <c r="I125" s="159">
        <f>I94-I114-I122</f>
        <v>6941.3068666666586</v>
      </c>
      <c r="J125" s="160">
        <f>I125/I$12</f>
        <v>5.7162358611169868E-2</v>
      </c>
      <c r="K125" s="116"/>
      <c r="L125" s="159">
        <f>L94-L114-L122</f>
        <v>17772.529666666691</v>
      </c>
      <c r="M125" s="160">
        <f>L125/L$12</f>
        <v>0.12775488567125365</v>
      </c>
      <c r="N125" s="116"/>
      <c r="O125" s="159">
        <f>O94-O114-O122</f>
        <v>47404.074066666661</v>
      </c>
      <c r="P125" s="160">
        <f>O125/O$12</f>
        <v>0.25162542917229069</v>
      </c>
      <c r="Q125" s="116"/>
      <c r="R125" s="159">
        <f>R94-R114-R122</f>
        <v>72117.910600000061</v>
      </c>
      <c r="S125" s="160">
        <f>R125/R$12</f>
        <v>0.1606414433455528</v>
      </c>
    </row>
    <row r="126" spans="3:19" s="129" customFormat="1" ht="6" customHeight="1" thickTop="1" x14ac:dyDescent="0.2">
      <c r="C126" s="121"/>
      <c r="D126" s="116"/>
      <c r="E126" s="116"/>
      <c r="H126" s="116"/>
      <c r="I126" s="161"/>
      <c r="J126" s="162"/>
      <c r="K126" s="116"/>
      <c r="L126" s="161"/>
      <c r="M126" s="162"/>
      <c r="N126" s="116"/>
      <c r="O126" s="161"/>
      <c r="P126" s="162"/>
      <c r="Q126" s="116"/>
      <c r="R126" s="161"/>
      <c r="S126" s="162"/>
    </row>
    <row r="127" spans="3:19" s="129" customFormat="1" hidden="1" x14ac:dyDescent="0.2">
      <c r="D127" s="129" t="s">
        <v>163</v>
      </c>
    </row>
    <row r="128" spans="3:19" s="129" customFormat="1" hidden="1" x14ac:dyDescent="0.2">
      <c r="E128" s="129" t="s">
        <v>164</v>
      </c>
      <c r="I128" s="163">
        <f>I112</f>
        <v>600</v>
      </c>
      <c r="J128" s="118">
        <f>I128/I$12</f>
        <v>4.9410602103479922E-3</v>
      </c>
      <c r="L128" s="163">
        <f>L112</f>
        <v>600</v>
      </c>
      <c r="M128" s="118">
        <f>L128/L$12</f>
        <v>4.3130006161429448E-3</v>
      </c>
      <c r="O128" s="163">
        <f>O112</f>
        <v>600</v>
      </c>
      <c r="P128" s="118">
        <f>O128/O$12</f>
        <v>3.1848582738068154E-3</v>
      </c>
      <c r="R128" s="163">
        <f>R112</f>
        <v>1800</v>
      </c>
      <c r="S128" s="118">
        <f>R128/R$12</f>
        <v>4.0094699862532456E-3</v>
      </c>
    </row>
    <row r="129" spans="3:19" s="129" customFormat="1" ht="2.25" hidden="1" customHeight="1" x14ac:dyDescent="0.2"/>
    <row r="130" spans="3:19" s="129" customFormat="1" hidden="1" x14ac:dyDescent="0.2">
      <c r="D130" s="129" t="s">
        <v>165</v>
      </c>
    </row>
    <row r="131" spans="3:19" s="129" customFormat="1" hidden="1" x14ac:dyDescent="0.2">
      <c r="E131" s="129" t="s">
        <v>166</v>
      </c>
      <c r="I131" s="164">
        <v>-17911.404997139474</v>
      </c>
      <c r="J131" s="118">
        <f>I131/I$12</f>
        <v>-0.14750221757132342</v>
      </c>
      <c r="L131" s="164">
        <v>0</v>
      </c>
      <c r="M131" s="118">
        <f>L131/L$12</f>
        <v>0</v>
      </c>
      <c r="O131" s="164">
        <v>0</v>
      </c>
      <c r="P131" s="118">
        <f>O131/O$12</f>
        <v>0</v>
      </c>
      <c r="R131" s="164">
        <v>0</v>
      </c>
      <c r="S131" s="118">
        <f>R131/R$12</f>
        <v>0</v>
      </c>
    </row>
    <row r="132" spans="3:19" s="129" customFormat="1" ht="4.5" hidden="1" customHeight="1" x14ac:dyDescent="0.2">
      <c r="J132" s="165"/>
      <c r="M132" s="165"/>
      <c r="P132" s="165"/>
      <c r="S132" s="165"/>
    </row>
    <row r="133" spans="3:19" s="129" customFormat="1" ht="16.5" hidden="1" thickBot="1" x14ac:dyDescent="0.25">
      <c r="C133" s="155" t="s">
        <v>167</v>
      </c>
      <c r="D133" s="148"/>
      <c r="E133" s="148"/>
      <c r="F133" s="145"/>
      <c r="G133" s="145"/>
      <c r="H133" s="148"/>
      <c r="I133" s="166">
        <f>I125+I128+I131</f>
        <v>-10370.098130472816</v>
      </c>
      <c r="J133" s="167">
        <f>I133/I$12</f>
        <v>-8.5398798749805549E-2</v>
      </c>
      <c r="K133" s="116"/>
      <c r="L133" s="166">
        <f>L125+L128+L131</f>
        <v>18372.529666666691</v>
      </c>
      <c r="M133" s="167">
        <f>L133/L$12</f>
        <v>0.1320678862873966</v>
      </c>
      <c r="N133" s="116"/>
      <c r="O133" s="166">
        <f>O125+O128+O131</f>
        <v>48004.074066666661</v>
      </c>
      <c r="P133" s="167">
        <f>O133/O$12</f>
        <v>0.25481028744609752</v>
      </c>
      <c r="Q133" s="116"/>
      <c r="R133" s="166">
        <f>R125+R128+R131</f>
        <v>73917.910600000061</v>
      </c>
      <c r="S133" s="167">
        <f>R133/R$12</f>
        <v>0.16465091333180604</v>
      </c>
    </row>
    <row r="134" spans="3:19" s="129" customFormat="1" ht="3" customHeight="1" x14ac:dyDescent="0.2"/>
    <row r="135" spans="3:19" s="129" customFormat="1" x14ac:dyDescent="0.2"/>
    <row r="136" spans="3:19" s="129" customFormat="1" x14ac:dyDescent="0.2"/>
    <row r="137" spans="3:19" s="129" customFormat="1" x14ac:dyDescent="0.2"/>
    <row r="138" spans="3:19" s="129" customFormat="1" x14ac:dyDescent="0.2"/>
    <row r="139" spans="3:19" s="129" customFormat="1" x14ac:dyDescent="0.2"/>
    <row r="140" spans="3:19" s="129" customFormat="1" x14ac:dyDescent="0.2"/>
    <row r="141" spans="3:19" s="129" customFormat="1" x14ac:dyDescent="0.2"/>
    <row r="142" spans="3:19" s="129" customFormat="1" x14ac:dyDescent="0.2"/>
    <row r="143" spans="3:19" s="129" customFormat="1" x14ac:dyDescent="0.2"/>
    <row r="144" spans="3:19" s="129" customFormat="1" x14ac:dyDescent="0.2"/>
    <row r="145" s="129" customFormat="1" x14ac:dyDescent="0.2"/>
    <row r="146" s="129" customFormat="1" x14ac:dyDescent="0.2"/>
    <row r="147" s="129" customFormat="1" x14ac:dyDescent="0.2"/>
    <row r="148" s="129" customFormat="1" x14ac:dyDescent="0.2"/>
    <row r="149" s="129" customFormat="1" x14ac:dyDescent="0.2"/>
    <row r="150" s="129" customFormat="1" x14ac:dyDescent="0.2"/>
    <row r="151" s="129" customFormat="1" x14ac:dyDescent="0.2"/>
    <row r="152" s="129" customFormat="1" x14ac:dyDescent="0.2"/>
    <row r="153" s="129" customFormat="1" x14ac:dyDescent="0.2"/>
    <row r="154" s="129" customFormat="1" x14ac:dyDescent="0.2"/>
    <row r="155" s="129" customFormat="1" x14ac:dyDescent="0.2"/>
    <row r="156" s="129" customFormat="1" x14ac:dyDescent="0.2"/>
    <row r="157" s="129" customFormat="1" x14ac:dyDescent="0.2"/>
    <row r="158" s="129" customFormat="1" x14ac:dyDescent="0.2"/>
    <row r="159" s="129" customFormat="1" x14ac:dyDescent="0.2"/>
    <row r="160" s="129" customFormat="1" x14ac:dyDescent="0.2"/>
    <row r="161" s="129" customFormat="1" x14ac:dyDescent="0.2"/>
    <row r="162" s="129" customFormat="1" x14ac:dyDescent="0.2"/>
    <row r="163" s="129" customFormat="1" x14ac:dyDescent="0.2"/>
    <row r="164" s="129" customFormat="1" x14ac:dyDescent="0.2"/>
    <row r="165" s="129" customFormat="1" x14ac:dyDescent="0.2"/>
    <row r="166" s="129" customFormat="1" x14ac:dyDescent="0.2"/>
    <row r="167" s="129" customFormat="1" x14ac:dyDescent="0.2"/>
    <row r="168" s="129" customFormat="1" x14ac:dyDescent="0.2"/>
    <row r="169" s="129" customFormat="1" x14ac:dyDescent="0.2"/>
    <row r="170" s="129" customFormat="1" x14ac:dyDescent="0.2"/>
    <row r="171" s="129" customFormat="1" x14ac:dyDescent="0.2"/>
    <row r="172" s="129" customFormat="1" x14ac:dyDescent="0.2"/>
    <row r="173" s="129" customFormat="1" x14ac:dyDescent="0.2"/>
    <row r="174" s="129" customFormat="1" x14ac:dyDescent="0.2"/>
    <row r="175" s="129" customFormat="1" x14ac:dyDescent="0.2"/>
    <row r="176" s="129" customFormat="1" x14ac:dyDescent="0.2"/>
    <row r="177" s="129" customFormat="1" x14ac:dyDescent="0.2"/>
    <row r="178" s="129" customFormat="1" x14ac:dyDescent="0.2"/>
    <row r="179" s="129" customFormat="1" x14ac:dyDescent="0.2"/>
    <row r="180" s="129" customFormat="1" x14ac:dyDescent="0.2"/>
    <row r="181" s="129" customFormat="1" x14ac:dyDescent="0.2"/>
    <row r="182" s="129" customFormat="1" x14ac:dyDescent="0.2"/>
    <row r="183" s="129" customFormat="1" x14ac:dyDescent="0.2"/>
    <row r="184" s="129" customFormat="1" x14ac:dyDescent="0.2"/>
    <row r="185" s="129" customFormat="1" x14ac:dyDescent="0.2"/>
    <row r="186" s="129" customFormat="1" x14ac:dyDescent="0.2"/>
    <row r="187" s="129" customFormat="1" x14ac:dyDescent="0.2"/>
    <row r="188" s="129" customFormat="1" x14ac:dyDescent="0.2"/>
    <row r="189" s="129" customFormat="1" x14ac:dyDescent="0.2"/>
    <row r="190" s="129" customFormat="1" x14ac:dyDescent="0.2"/>
    <row r="191" s="129" customFormat="1" x14ac:dyDescent="0.2"/>
    <row r="192" s="129" customFormat="1" x14ac:dyDescent="0.2"/>
    <row r="193" s="129" customFormat="1" x14ac:dyDescent="0.2"/>
    <row r="194" s="129" customFormat="1" x14ac:dyDescent="0.2"/>
    <row r="195" s="129" customFormat="1" x14ac:dyDescent="0.2"/>
    <row r="196" s="129" customFormat="1" x14ac:dyDescent="0.2"/>
    <row r="197" s="129" customFormat="1" x14ac:dyDescent="0.2"/>
    <row r="198" s="129" customFormat="1" x14ac:dyDescent="0.2"/>
    <row r="199" s="129" customFormat="1" x14ac:dyDescent="0.2"/>
    <row r="200" s="129" customFormat="1" x14ac:dyDescent="0.2"/>
    <row r="201" s="129" customFormat="1" x14ac:dyDescent="0.2"/>
    <row r="202" s="129" customFormat="1" x14ac:dyDescent="0.2"/>
    <row r="203" s="129" customFormat="1" x14ac:dyDescent="0.2"/>
    <row r="204" s="129" customFormat="1" x14ac:dyDescent="0.2"/>
    <row r="205" s="129" customFormat="1" x14ac:dyDescent="0.2"/>
    <row r="206" s="129" customFormat="1" x14ac:dyDescent="0.2"/>
    <row r="207" s="129" customFormat="1" x14ac:dyDescent="0.2"/>
    <row r="208" s="129" customFormat="1" x14ac:dyDescent="0.2"/>
    <row r="209" s="129" customFormat="1" x14ac:dyDescent="0.2"/>
    <row r="210" s="129" customFormat="1" x14ac:dyDescent="0.2"/>
    <row r="211" s="129" customFormat="1" x14ac:dyDescent="0.2"/>
    <row r="212" s="129" customFormat="1" x14ac:dyDescent="0.2"/>
    <row r="213" s="129" customFormat="1" x14ac:dyDescent="0.2"/>
    <row r="214" s="129" customFormat="1" x14ac:dyDescent="0.2"/>
    <row r="215" s="129" customFormat="1" x14ac:dyDescent="0.2"/>
    <row r="216" s="129" customFormat="1" x14ac:dyDescent="0.2"/>
    <row r="217" s="129" customFormat="1" x14ac:dyDescent="0.2"/>
    <row r="218" s="129" customFormat="1" x14ac:dyDescent="0.2"/>
    <row r="219" s="129" customFormat="1" x14ac:dyDescent="0.2"/>
    <row r="220" s="129" customFormat="1" x14ac:dyDescent="0.2"/>
    <row r="221" s="129" customFormat="1" x14ac:dyDescent="0.2"/>
    <row r="222" s="129" customFormat="1" x14ac:dyDescent="0.2"/>
    <row r="223" s="129" customFormat="1" x14ac:dyDescent="0.2"/>
    <row r="224" s="129" customFormat="1" x14ac:dyDescent="0.2"/>
    <row r="225" s="129" customFormat="1" x14ac:dyDescent="0.2"/>
    <row r="226" s="129" customFormat="1" x14ac:dyDescent="0.2"/>
    <row r="227" s="129" customFormat="1" x14ac:dyDescent="0.2"/>
    <row r="228" s="129" customFormat="1" x14ac:dyDescent="0.2"/>
    <row r="229" s="129" customFormat="1" x14ac:dyDescent="0.2"/>
    <row r="230" s="129" customFormat="1" x14ac:dyDescent="0.2"/>
    <row r="231" s="129" customFormat="1" x14ac:dyDescent="0.2"/>
    <row r="232" s="129" customFormat="1" x14ac:dyDescent="0.2"/>
    <row r="233" s="129" customFormat="1" x14ac:dyDescent="0.2"/>
    <row r="234" s="129" customFormat="1" x14ac:dyDescent="0.2"/>
    <row r="235" s="129" customFormat="1" x14ac:dyDescent="0.2"/>
    <row r="236" s="129" customFormat="1" x14ac:dyDescent="0.2"/>
    <row r="237" s="129" customFormat="1" x14ac:dyDescent="0.2"/>
    <row r="238" s="129" customFormat="1" x14ac:dyDescent="0.2"/>
    <row r="239" s="129" customFormat="1" x14ac:dyDescent="0.2"/>
    <row r="240" s="129" customFormat="1" x14ac:dyDescent="0.2"/>
    <row r="241" s="129" customFormat="1" x14ac:dyDescent="0.2"/>
    <row r="242" s="129" customFormat="1" x14ac:dyDescent="0.2"/>
    <row r="243" s="129" customFormat="1" x14ac:dyDescent="0.2"/>
    <row r="244" s="129" customFormat="1" x14ac:dyDescent="0.2"/>
    <row r="245" s="129" customFormat="1" x14ac:dyDescent="0.2"/>
    <row r="246" s="129" customFormat="1" x14ac:dyDescent="0.2"/>
  </sheetData>
  <sheetProtection algorithmName="SHA-512" hashValue="NaM9GXGa/BBu4R4SIy4JLPocuDtxC6YK/iTc5ULxse4q4ZiLVOYn8cfSykMJ60qsR7V6/1Oere1Rw8zLtzrImQ==" saltValue="Z7JBEhvlbIhpWsFdtwaZFQ==" spinCount="100000" sheet="1" selectLockedCells="1"/>
  <mergeCells count="7">
    <mergeCell ref="B1:S1"/>
    <mergeCell ref="B2:S2"/>
    <mergeCell ref="B3:S3"/>
    <mergeCell ref="I5:J5"/>
    <mergeCell ref="L5:M5"/>
    <mergeCell ref="O5:P5"/>
    <mergeCell ref="R5:S5"/>
  </mergeCells>
  <dataValidations count="1">
    <dataValidation allowBlank="1" showInputMessage="1" showErrorMessage="1" promptTitle="Formula Warning" prompt="This cell gets its value from the Assumption Worksheet. You can override by entering a new value. Doing so will erase this formula permanently." sqref="O29:O31 L29:L31 I29:I31 I40:I49 L40:L49 O40:O48 I53:I54 L53:L54 O53:O54 I58:I61 L58:L61 O58:O61 I65:I68 L65:L68 O65:O68 I72:I75 L72:L75 O72:O75 I77:I85 L77:L85 O77:O85 I89:I91 L89:L91 O89:O91 I98:I104 L98:L104 O98:O104 I108:I111 L108:L111 O108:O111 I118:I121 L118:L121 O118:O121" xr:uid="{EECA19AB-053B-475C-9E72-AEC0AFFAA23E}"/>
  </dataValidations>
  <printOptions horizontalCentered="1"/>
  <pageMargins left="0" right="0" top="0.6" bottom="0.7" header="0.5" footer="0.5"/>
  <pageSetup scale="64" fitToHeight="2" orientation="landscape" r:id="rId1"/>
  <headerFooter alignWithMargins="0">
    <oddHeader>&amp;L&amp;D</oddHeader>
    <oddFooter>&amp;LWorksheet: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4B41-1ADD-45D4-B482-E0919F6EFCB4}">
  <sheetPr>
    <pageSetUpPr fitToPage="1"/>
  </sheetPr>
  <dimension ref="A1:AK177"/>
  <sheetViews>
    <sheetView zoomScaleNormal="100" workbookViewId="0">
      <selection activeCell="W35" sqref="W35"/>
    </sheetView>
  </sheetViews>
  <sheetFormatPr defaultRowHeight="12.75" x14ac:dyDescent="0.2"/>
  <cols>
    <col min="1" max="1" width="9.140625" style="30"/>
    <col min="2" max="2" width="1.28515625" style="32" customWidth="1"/>
    <col min="3" max="7" width="1.85546875" style="32" customWidth="1"/>
    <col min="8" max="8" width="34.7109375" style="32" customWidth="1"/>
    <col min="9" max="9" width="15.28515625" style="32" customWidth="1"/>
    <col min="10" max="10" width="10" style="32" customWidth="1"/>
    <col min="11" max="11" width="1.7109375" style="32" customWidth="1"/>
    <col min="12" max="12" width="15.28515625" style="32" customWidth="1"/>
    <col min="13" max="13" width="10" style="32" customWidth="1"/>
    <col min="14" max="14" width="1.7109375" style="32" customWidth="1"/>
    <col min="15" max="15" width="15.28515625" style="32" customWidth="1"/>
    <col min="16" max="16" width="10" style="32" customWidth="1"/>
    <col min="17" max="17" width="1.7109375" style="32" customWidth="1"/>
    <col min="18" max="18" width="15.28515625" style="32" customWidth="1"/>
    <col min="19" max="19" width="10" style="32" customWidth="1"/>
    <col min="20" max="37" width="9.140625" style="30"/>
    <col min="38" max="16384" width="9.140625" style="32"/>
  </cols>
  <sheetData>
    <row r="1" spans="1:37" s="31" customFormat="1" ht="27" customHeight="1" x14ac:dyDescent="0.4">
      <c r="A1" s="29"/>
      <c r="B1" s="219" t="str">
        <f>'P&amp;L Input_Worksheet'!B1</f>
        <v>Blue Fish Grill</v>
      </c>
      <c r="C1" s="219"/>
      <c r="D1" s="219"/>
      <c r="E1" s="219"/>
      <c r="F1" s="219"/>
      <c r="G1" s="219"/>
      <c r="H1" s="219"/>
      <c r="I1" s="219"/>
      <c r="J1" s="219"/>
      <c r="K1" s="219"/>
      <c r="L1" s="219"/>
      <c r="M1" s="219"/>
      <c r="N1" s="219"/>
      <c r="O1" s="219"/>
      <c r="P1" s="219"/>
      <c r="Q1" s="219"/>
      <c r="R1" s="219"/>
      <c r="S1" s="219"/>
      <c r="T1" s="125"/>
      <c r="U1" s="125"/>
      <c r="V1" s="125"/>
      <c r="W1" s="125"/>
      <c r="X1" s="125"/>
      <c r="Y1" s="125"/>
      <c r="Z1" s="125"/>
      <c r="AA1" s="125"/>
      <c r="AB1" s="125"/>
      <c r="AC1" s="125"/>
      <c r="AD1" s="125"/>
      <c r="AE1" s="125"/>
      <c r="AF1" s="125"/>
      <c r="AG1" s="125"/>
      <c r="AH1" s="125"/>
      <c r="AI1" s="125"/>
      <c r="AJ1" s="125"/>
      <c r="AK1" s="125"/>
    </row>
    <row r="2" spans="1:37" ht="17.25" customHeight="1" x14ac:dyDescent="0.25">
      <c r="B2" s="220" t="s">
        <v>170</v>
      </c>
      <c r="C2" s="220"/>
      <c r="D2" s="220"/>
      <c r="E2" s="220"/>
      <c r="F2" s="220"/>
      <c r="G2" s="220"/>
      <c r="H2" s="220"/>
      <c r="I2" s="220"/>
      <c r="J2" s="220"/>
      <c r="K2" s="220"/>
      <c r="L2" s="220"/>
      <c r="M2" s="220"/>
      <c r="N2" s="220"/>
      <c r="O2" s="220"/>
      <c r="P2" s="220"/>
      <c r="Q2" s="220"/>
      <c r="R2" s="220"/>
      <c r="S2" s="220"/>
    </row>
    <row r="3" spans="1:37" ht="17.25" customHeight="1" x14ac:dyDescent="0.25">
      <c r="B3" s="221" t="s">
        <v>178</v>
      </c>
      <c r="C3" s="221"/>
      <c r="D3" s="221"/>
      <c r="E3" s="221"/>
      <c r="F3" s="221"/>
      <c r="G3" s="221"/>
      <c r="H3" s="221"/>
      <c r="I3" s="221"/>
      <c r="J3" s="221"/>
      <c r="K3" s="221"/>
      <c r="L3" s="221"/>
      <c r="M3" s="221"/>
      <c r="N3" s="221"/>
      <c r="O3" s="221"/>
      <c r="P3" s="221"/>
      <c r="Q3" s="221"/>
      <c r="R3" s="221"/>
      <c r="S3" s="221"/>
    </row>
    <row r="4" spans="1:37" ht="3.75" customHeight="1" x14ac:dyDescent="0.2">
      <c r="B4" s="33"/>
      <c r="C4" s="34"/>
      <c r="D4" s="34"/>
      <c r="E4" s="34"/>
      <c r="F4" s="34"/>
      <c r="G4" s="34"/>
      <c r="H4" s="34"/>
      <c r="I4" s="34"/>
      <c r="J4" s="34"/>
      <c r="K4" s="34"/>
      <c r="L4" s="34"/>
      <c r="M4" s="34"/>
      <c r="N4" s="34"/>
      <c r="O4" s="34"/>
      <c r="P4" s="34"/>
      <c r="Q4" s="34"/>
      <c r="R4" s="34"/>
      <c r="S4" s="34"/>
    </row>
    <row r="5" spans="1:37" s="31" customFormat="1" ht="21.75" customHeight="1" x14ac:dyDescent="0.2">
      <c r="A5" s="29"/>
      <c r="B5" s="12"/>
      <c r="C5" s="12"/>
      <c r="D5" s="12"/>
      <c r="E5" s="12"/>
      <c r="F5" s="12"/>
      <c r="G5" s="12"/>
      <c r="H5" s="12"/>
      <c r="I5" s="222" t="str">
        <f>'P&amp;L Input_Worksheet'!I5</f>
        <v xml:space="preserve">Month 1 </v>
      </c>
      <c r="J5" s="223"/>
      <c r="K5" s="12"/>
      <c r="L5" s="222" t="str">
        <f>'P&amp;L Input_Worksheet'!L5</f>
        <v xml:space="preserve">Month 2 </v>
      </c>
      <c r="M5" s="223"/>
      <c r="N5" s="12"/>
      <c r="O5" s="222" t="str">
        <f>'P&amp;L Input_Worksheet'!O5</f>
        <v xml:space="preserve">Month 3 </v>
      </c>
      <c r="P5" s="223"/>
      <c r="Q5" s="12"/>
      <c r="R5" s="222" t="s">
        <v>171</v>
      </c>
      <c r="S5" s="223"/>
      <c r="T5" s="29"/>
      <c r="U5" s="29"/>
      <c r="V5" s="29"/>
      <c r="W5" s="29"/>
      <c r="X5" s="29"/>
      <c r="Y5" s="29"/>
      <c r="Z5" s="29"/>
      <c r="AA5" s="29"/>
      <c r="AB5" s="29"/>
      <c r="AC5" s="29"/>
      <c r="AD5" s="29"/>
      <c r="AE5" s="29"/>
      <c r="AF5" s="29"/>
      <c r="AG5" s="29"/>
      <c r="AH5" s="29"/>
      <c r="AI5" s="29"/>
      <c r="AJ5" s="29"/>
      <c r="AK5" s="29"/>
    </row>
    <row r="6" spans="1:37" s="29" customFormat="1" ht="6" customHeight="1" x14ac:dyDescent="0.2">
      <c r="B6" s="35"/>
      <c r="C6" s="36"/>
      <c r="D6" s="36"/>
      <c r="E6" s="36"/>
      <c r="F6" s="36"/>
      <c r="G6" s="36"/>
      <c r="H6" s="36"/>
      <c r="I6" s="37"/>
      <c r="J6" s="37"/>
      <c r="K6" s="37"/>
      <c r="L6" s="37"/>
      <c r="M6" s="37"/>
      <c r="N6" s="37"/>
      <c r="O6" s="37"/>
      <c r="P6" s="37"/>
      <c r="Q6" s="37"/>
      <c r="R6" s="37"/>
      <c r="S6" s="37"/>
    </row>
    <row r="7" spans="1:37" ht="16.5" customHeight="1" x14ac:dyDescent="0.25">
      <c r="B7" s="30"/>
      <c r="C7" s="38" t="s">
        <v>173</v>
      </c>
      <c r="D7" s="39"/>
      <c r="E7" s="39"/>
      <c r="F7" s="39"/>
      <c r="G7" s="40"/>
      <c r="H7" s="41"/>
      <c r="I7" s="41"/>
      <c r="J7" s="39"/>
      <c r="K7" s="42"/>
      <c r="L7" s="41"/>
      <c r="M7" s="39"/>
      <c r="N7" s="42"/>
      <c r="O7" s="41"/>
      <c r="P7" s="39"/>
      <c r="Q7" s="42"/>
      <c r="R7" s="41"/>
      <c r="S7" s="39"/>
    </row>
    <row r="8" spans="1:37" x14ac:dyDescent="0.2">
      <c r="B8" s="30"/>
      <c r="C8" s="39"/>
      <c r="D8" s="39" t="s">
        <v>174</v>
      </c>
      <c r="E8" s="39"/>
      <c r="F8" s="39"/>
      <c r="G8" s="40"/>
      <c r="H8" s="41"/>
      <c r="I8" s="43">
        <f>'P&amp;L Input_Worksheet'!I8</f>
        <v>22320</v>
      </c>
      <c r="J8" s="44">
        <f>I8/I$12</f>
        <v>0.1838074398249453</v>
      </c>
      <c r="K8" s="42"/>
      <c r="L8" s="43">
        <f>'P&amp;L Input_Worksheet'!L8</f>
        <v>43200</v>
      </c>
      <c r="M8" s="44">
        <f>L8/L$12</f>
        <v>0.31053604436229199</v>
      </c>
      <c r="N8" s="42"/>
      <c r="O8" s="43">
        <f>'P&amp;L Input_Worksheet'!O8</f>
        <v>89280</v>
      </c>
      <c r="P8" s="44">
        <f>O8/O$12</f>
        <v>0.47390691114245415</v>
      </c>
      <c r="Q8" s="42"/>
      <c r="R8" s="43">
        <f>I8+L8+O8</f>
        <v>154800</v>
      </c>
      <c r="S8" s="44">
        <f>R8/R$12</f>
        <v>0.34481441881777908</v>
      </c>
    </row>
    <row r="9" spans="1:37" x14ac:dyDescent="0.2">
      <c r="B9" s="30"/>
      <c r="C9" s="39"/>
      <c r="D9" s="39" t="s">
        <v>175</v>
      </c>
      <c r="E9" s="39"/>
      <c r="F9" s="39"/>
      <c r="G9" s="40"/>
      <c r="H9" s="41"/>
      <c r="I9" s="43">
        <f>'P&amp;L Input_Worksheet'!I9</f>
        <v>66428.57142857142</v>
      </c>
      <c r="J9" s="44">
        <f>I9/I$12</f>
        <v>0.54704595185995619</v>
      </c>
      <c r="K9" s="42"/>
      <c r="L9" s="43">
        <f>'P&amp;L Input_Worksheet'!L9</f>
        <v>64285.714285714283</v>
      </c>
      <c r="M9" s="44">
        <f>L9/L$12</f>
        <v>0.46210720887245832</v>
      </c>
      <c r="N9" s="42"/>
      <c r="O9" s="43">
        <f>'P&amp;L Input_Worksheet'!O9</f>
        <v>66428.57142857142</v>
      </c>
      <c r="P9" s="44">
        <f>O9/O$12</f>
        <v>0.35260930888575454</v>
      </c>
      <c r="Q9" s="42"/>
      <c r="R9" s="43">
        <f t="shared" ref="R9:R11" si="0">I9+L9+O9</f>
        <v>197142.85714285713</v>
      </c>
      <c r="S9" s="44">
        <f>R9/R$12</f>
        <v>0.43913242706583161</v>
      </c>
    </row>
    <row r="10" spans="1:37" x14ac:dyDescent="0.2">
      <c r="B10" s="30"/>
      <c r="C10" s="39"/>
      <c r="D10" s="39" t="s">
        <v>176</v>
      </c>
      <c r="E10" s="39"/>
      <c r="F10" s="39"/>
      <c r="G10" s="40"/>
      <c r="H10" s="41"/>
      <c r="I10" s="43">
        <f>'P&amp;L Input_Worksheet'!I10</f>
        <v>23072.857142857145</v>
      </c>
      <c r="J10" s="44">
        <f>I10/I$12</f>
        <v>0.19000729394602484</v>
      </c>
      <c r="K10" s="42"/>
      <c r="L10" s="43">
        <f>'P&amp;L Input_Worksheet'!L10</f>
        <v>22328.571428571431</v>
      </c>
      <c r="M10" s="44">
        <f>L10/L$12</f>
        <v>0.16050523721503387</v>
      </c>
      <c r="N10" s="42"/>
      <c r="O10" s="43">
        <f>'P&amp;L Input_Worksheet'!O10</f>
        <v>23072.857142857145</v>
      </c>
      <c r="P10" s="44">
        <f>O10/O$12</f>
        <v>0.1224729666196521</v>
      </c>
      <c r="Q10" s="42"/>
      <c r="R10" s="43">
        <f t="shared" si="0"/>
        <v>68474.285714285725</v>
      </c>
      <c r="S10" s="44">
        <f>R10/R$12</f>
        <v>0.15252532966753221</v>
      </c>
    </row>
    <row r="11" spans="1:37" x14ac:dyDescent="0.2">
      <c r="B11" s="30"/>
      <c r="C11" s="39"/>
      <c r="D11" s="39" t="s">
        <v>177</v>
      </c>
      <c r="E11" s="39"/>
      <c r="F11" s="39"/>
      <c r="G11" s="40"/>
      <c r="H11" s="41"/>
      <c r="I11" s="43">
        <f>'P&amp;L Input_Worksheet'!I11</f>
        <v>9610</v>
      </c>
      <c r="J11" s="44">
        <f>I11/I$12</f>
        <v>7.9139314369073677E-2</v>
      </c>
      <c r="K11" s="42"/>
      <c r="L11" s="43">
        <f>'P&amp;L Input_Worksheet'!L11</f>
        <v>9300</v>
      </c>
      <c r="M11" s="44">
        <f>L11/L$12</f>
        <v>6.685150955021564E-2</v>
      </c>
      <c r="N11" s="42"/>
      <c r="O11" s="43">
        <f>'P&amp;L Input_Worksheet'!O11</f>
        <v>9610</v>
      </c>
      <c r="P11" s="44">
        <f>O11/O$12</f>
        <v>5.101081335213916E-2</v>
      </c>
      <c r="Q11" s="42"/>
      <c r="R11" s="43">
        <f t="shared" si="0"/>
        <v>28520</v>
      </c>
      <c r="S11" s="44">
        <f>R11/R$12</f>
        <v>6.3527824448856976E-2</v>
      </c>
    </row>
    <row r="12" spans="1:37" x14ac:dyDescent="0.2">
      <c r="B12" s="30"/>
      <c r="C12" s="39"/>
      <c r="D12" s="39"/>
      <c r="E12" s="39" t="s">
        <v>128</v>
      </c>
      <c r="F12" s="41"/>
      <c r="G12" s="40"/>
      <c r="H12" s="41"/>
      <c r="I12" s="45">
        <f>SUM(I8:I11)</f>
        <v>121431.42857142857</v>
      </c>
      <c r="J12" s="46">
        <v>1</v>
      </c>
      <c r="K12" s="42"/>
      <c r="L12" s="45">
        <f>SUM(L8:L11)</f>
        <v>139114.28571428574</v>
      </c>
      <c r="M12" s="46">
        <v>1</v>
      </c>
      <c r="N12" s="42"/>
      <c r="O12" s="45">
        <f>SUM(O8:O11)</f>
        <v>188391.42857142858</v>
      </c>
      <c r="P12" s="46">
        <v>1</v>
      </c>
      <c r="Q12" s="42"/>
      <c r="R12" s="45">
        <f>SUM(R8:R11)</f>
        <v>448937.1428571429</v>
      </c>
      <c r="S12" s="46">
        <v>1</v>
      </c>
    </row>
    <row r="13" spans="1:37" ht="3" customHeight="1" x14ac:dyDescent="0.2">
      <c r="B13" s="30"/>
      <c r="C13" s="39"/>
      <c r="D13" s="39"/>
      <c r="E13" s="39"/>
      <c r="F13" s="39"/>
      <c r="G13" s="40"/>
      <c r="H13" s="41"/>
      <c r="I13" s="47"/>
      <c r="J13" s="44"/>
      <c r="K13" s="42"/>
      <c r="L13" s="47"/>
      <c r="M13" s="44"/>
      <c r="N13" s="42"/>
      <c r="O13" s="47"/>
      <c r="P13" s="44"/>
      <c r="Q13" s="42"/>
      <c r="R13" s="47"/>
      <c r="S13" s="44"/>
    </row>
    <row r="14" spans="1:37" ht="15.75" x14ac:dyDescent="0.2">
      <c r="B14" s="30"/>
      <c r="C14" s="48" t="s">
        <v>129</v>
      </c>
      <c r="D14" s="39"/>
      <c r="E14" s="39"/>
      <c r="F14" s="39"/>
      <c r="G14" s="40"/>
      <c r="H14" s="41"/>
      <c r="I14" s="47"/>
      <c r="J14" s="44"/>
      <c r="K14" s="42"/>
      <c r="L14" s="47"/>
      <c r="M14" s="44"/>
      <c r="N14" s="42"/>
      <c r="O14" s="47"/>
      <c r="P14" s="44"/>
      <c r="Q14" s="42"/>
      <c r="R14" s="47"/>
      <c r="S14" s="44"/>
    </row>
    <row r="15" spans="1:37" x14ac:dyDescent="0.2">
      <c r="B15" s="30"/>
      <c r="C15" s="39"/>
      <c r="D15" s="39" t="s">
        <v>127</v>
      </c>
      <c r="E15" s="39"/>
      <c r="F15" s="39"/>
      <c r="G15" s="40"/>
      <c r="H15" s="41"/>
      <c r="I15" s="47">
        <f>'P&amp;L Input_Worksheet'!I15</f>
        <v>35495</v>
      </c>
      <c r="J15" s="44">
        <f>'P&amp;L Input_Worksheet'!J15</f>
        <v>0.29230488694383661</v>
      </c>
      <c r="K15" s="42"/>
      <c r="L15" s="47">
        <f>'P&amp;L Input_Worksheet'!L15</f>
        <v>39750.000000000007</v>
      </c>
      <c r="M15" s="44">
        <f>'P&amp;L Input_Worksheet'!M15</f>
        <v>0.28573629081947011</v>
      </c>
      <c r="N15" s="42"/>
      <c r="O15" s="47">
        <f>'P&amp;L Input_Worksheet'!O15</f>
        <v>52235.000000000007</v>
      </c>
      <c r="P15" s="44">
        <f>'P&amp;L Input_Worksheet'!P15</f>
        <v>0.27726845322049837</v>
      </c>
      <c r="Q15" s="42"/>
      <c r="R15" s="47">
        <f t="shared" ref="R15:R16" si="1">I15+L15+O15</f>
        <v>127480</v>
      </c>
      <c r="S15" s="44">
        <f>R15/R12</f>
        <v>0.2839595743597576</v>
      </c>
    </row>
    <row r="16" spans="1:37" x14ac:dyDescent="0.2">
      <c r="B16" s="30"/>
      <c r="C16" s="39"/>
      <c r="D16" s="39" t="s">
        <v>172</v>
      </c>
      <c r="E16" s="39"/>
      <c r="F16" s="39"/>
      <c r="G16" s="40"/>
      <c r="H16" s="41"/>
      <c r="I16" s="47">
        <f>'P&amp;L Input_Worksheet'!I16</f>
        <v>4129.2</v>
      </c>
      <c r="J16" s="44">
        <f>'P&amp;L Input_Worksheet'!J16</f>
        <v>3.4004376367614879E-2</v>
      </c>
      <c r="K16" s="42"/>
      <c r="L16" s="47">
        <f>'P&amp;L Input_Worksheet'!L16</f>
        <v>3996.0000000000005</v>
      </c>
      <c r="M16" s="44">
        <f>'P&amp;L Input_Worksheet'!M16</f>
        <v>2.8724584103512012E-2</v>
      </c>
      <c r="N16" s="42"/>
      <c r="O16" s="47">
        <f>'P&amp;L Input_Worksheet'!O16</f>
        <v>4129.2</v>
      </c>
      <c r="P16" s="44">
        <f>'P&amp;L Input_Worksheet'!P16</f>
        <v>2.1918194640338503E-2</v>
      </c>
      <c r="Q16" s="42"/>
      <c r="R16" s="47">
        <f t="shared" si="1"/>
        <v>12254.400000000001</v>
      </c>
      <c r="S16" s="44">
        <f>R16/R12</f>
        <v>2.7296471666412098E-2</v>
      </c>
    </row>
    <row r="17" spans="2:19" x14ac:dyDescent="0.2">
      <c r="B17" s="30"/>
      <c r="C17" s="39"/>
      <c r="D17" s="39"/>
      <c r="E17" s="39" t="s">
        <v>130</v>
      </c>
      <c r="F17" s="39"/>
      <c r="G17" s="40"/>
      <c r="H17" s="41"/>
      <c r="I17" s="45">
        <f>SUM(I15:I16)</f>
        <v>39624.199999999997</v>
      </c>
      <c r="J17" s="46">
        <f>I17/I12</f>
        <v>0.32630926331145149</v>
      </c>
      <c r="K17" s="42"/>
      <c r="L17" s="45">
        <f>SUM(L15:L16)</f>
        <v>43746.000000000007</v>
      </c>
      <c r="M17" s="46">
        <f>L17/L12</f>
        <v>0.31446087492298214</v>
      </c>
      <c r="N17" s="42"/>
      <c r="O17" s="45">
        <f>SUM(O15:O16)</f>
        <v>56364.200000000004</v>
      </c>
      <c r="P17" s="46">
        <f>O17/O12</f>
        <v>0.29918664786083687</v>
      </c>
      <c r="Q17" s="42"/>
      <c r="R17" s="45">
        <f>SUM(R15:R16)</f>
        <v>139734.39999999999</v>
      </c>
      <c r="S17" s="46">
        <f>R17/R12</f>
        <v>0.31125604602616969</v>
      </c>
    </row>
    <row r="18" spans="2:19" ht="3" customHeight="1" x14ac:dyDescent="0.2">
      <c r="B18" s="30"/>
      <c r="C18" s="39"/>
      <c r="D18" s="39"/>
      <c r="E18" s="39"/>
      <c r="F18" s="39"/>
      <c r="G18" s="40"/>
      <c r="H18" s="41"/>
      <c r="I18" s="47"/>
      <c r="J18" s="44"/>
      <c r="K18" s="42"/>
      <c r="L18" s="47"/>
      <c r="M18" s="44"/>
      <c r="N18" s="42"/>
      <c r="O18" s="47"/>
      <c r="P18" s="44"/>
      <c r="Q18" s="42"/>
      <c r="R18" s="47"/>
      <c r="S18" s="44"/>
    </row>
    <row r="19" spans="2:19" ht="15.75" x14ac:dyDescent="0.2">
      <c r="B19" s="30"/>
      <c r="C19" s="48" t="s">
        <v>131</v>
      </c>
      <c r="D19" s="39"/>
      <c r="E19" s="39"/>
      <c r="F19" s="39"/>
      <c r="G19" s="39"/>
      <c r="H19" s="41"/>
      <c r="I19" s="47">
        <f>I12-I17</f>
        <v>81807.228571428568</v>
      </c>
      <c r="J19" s="44">
        <f>I19/I$12</f>
        <v>0.67369073668854851</v>
      </c>
      <c r="K19" s="42"/>
      <c r="L19" s="47">
        <f>L12-L17</f>
        <v>95368.285714285739</v>
      </c>
      <c r="M19" s="44">
        <f>L19/L$12</f>
        <v>0.68553912507701797</v>
      </c>
      <c r="N19" s="42"/>
      <c r="O19" s="47">
        <f>O12-O17</f>
        <v>132027.22857142857</v>
      </c>
      <c r="P19" s="44">
        <f>O19/O$12</f>
        <v>0.70081335213916307</v>
      </c>
      <c r="Q19" s="42"/>
      <c r="R19" s="47">
        <f>R12-R17</f>
        <v>309202.74285714293</v>
      </c>
      <c r="S19" s="44">
        <f>R19/R$12</f>
        <v>0.68874395397383037</v>
      </c>
    </row>
    <row r="20" spans="2:19" ht="3" customHeight="1" x14ac:dyDescent="0.2">
      <c r="B20" s="30"/>
      <c r="C20" s="39"/>
      <c r="D20" s="39"/>
      <c r="E20" s="39"/>
      <c r="F20" s="49"/>
      <c r="G20" s="39"/>
      <c r="H20" s="41"/>
      <c r="I20" s="47"/>
      <c r="J20" s="44"/>
      <c r="K20" s="42"/>
      <c r="L20" s="47"/>
      <c r="M20" s="44"/>
      <c r="N20" s="42"/>
      <c r="O20" s="47"/>
      <c r="P20" s="44"/>
      <c r="Q20" s="42"/>
      <c r="R20" s="47"/>
      <c r="S20" s="44"/>
    </row>
    <row r="21" spans="2:19" ht="15.75" x14ac:dyDescent="0.2">
      <c r="B21" s="30"/>
      <c r="C21" s="48" t="s">
        <v>132</v>
      </c>
      <c r="D21" s="39"/>
      <c r="E21" s="39"/>
      <c r="F21" s="39"/>
      <c r="G21" s="39"/>
      <c r="H21" s="41"/>
      <c r="I21" s="47"/>
      <c r="J21" s="44"/>
      <c r="K21" s="42"/>
      <c r="L21" s="47"/>
      <c r="M21" s="44"/>
      <c r="N21" s="42"/>
      <c r="O21" s="47"/>
      <c r="P21" s="44"/>
      <c r="Q21" s="42"/>
      <c r="R21" s="47"/>
      <c r="S21" s="44"/>
    </row>
    <row r="22" spans="2:19" x14ac:dyDescent="0.2">
      <c r="B22" s="30"/>
      <c r="C22" s="39"/>
      <c r="D22" s="39" t="s">
        <v>133</v>
      </c>
      <c r="E22" s="49"/>
      <c r="F22" s="39"/>
      <c r="G22" s="39"/>
      <c r="H22" s="41"/>
      <c r="I22" s="47">
        <f>'P&amp;L Input_Worksheet'!I25</f>
        <v>35583.333333333336</v>
      </c>
      <c r="J22" s="44">
        <f>'P&amp;L Input_Worksheet'!J25</f>
        <v>0.2930323208081379</v>
      </c>
      <c r="K22" s="42"/>
      <c r="L22" s="47">
        <f>'P&amp;L Input_Worksheet'!L25</f>
        <v>37583.333333333336</v>
      </c>
      <c r="M22" s="44">
        <f>'P&amp;L Input_Worksheet'!M25</f>
        <v>0.27016156637228722</v>
      </c>
      <c r="N22" s="42"/>
      <c r="O22" s="47">
        <f>'P&amp;L Input_Worksheet'!O25</f>
        <v>42583.333333333336</v>
      </c>
      <c r="P22" s="44">
        <f>'P&amp;L Input_Worksheet'!P25</f>
        <v>0.22603646915490039</v>
      </c>
      <c r="Q22" s="42"/>
      <c r="R22" s="47">
        <f t="shared" ref="R22" si="2">I22+L22+O22</f>
        <v>115750</v>
      </c>
      <c r="S22" s="44">
        <f>R22/R$12</f>
        <v>0.25783119494934065</v>
      </c>
    </row>
    <row r="23" spans="2:19" ht="3" customHeight="1" x14ac:dyDescent="0.2">
      <c r="B23" s="30"/>
      <c r="C23" s="39"/>
      <c r="D23" s="39"/>
      <c r="E23" s="39"/>
      <c r="F23" s="39"/>
      <c r="G23" s="39"/>
      <c r="H23" s="41"/>
      <c r="I23" s="47"/>
      <c r="J23" s="44"/>
      <c r="K23" s="42"/>
      <c r="L23" s="47"/>
      <c r="M23" s="44"/>
      <c r="N23" s="42"/>
      <c r="O23" s="47"/>
      <c r="P23" s="44"/>
      <c r="Q23" s="42"/>
      <c r="R23" s="47"/>
      <c r="S23" s="44"/>
    </row>
    <row r="24" spans="2:19" x14ac:dyDescent="0.2">
      <c r="B24" s="30"/>
      <c r="C24" s="39"/>
      <c r="D24" s="39" t="s">
        <v>0</v>
      </c>
      <c r="E24" s="39"/>
      <c r="F24" s="39"/>
      <c r="G24" s="39"/>
      <c r="H24" s="41"/>
      <c r="I24" s="47">
        <f>'P&amp;L Input_Worksheet'!I32</f>
        <v>5336.8655142857142</v>
      </c>
      <c r="J24" s="44">
        <f>'P&amp;L Input_Worksheet'!J32</f>
        <v>4.3949623067692525E-2</v>
      </c>
      <c r="K24" s="42"/>
      <c r="L24" s="47">
        <f>'P&amp;L Input_Worksheet'!L32</f>
        <v>5652.1941428571436</v>
      </c>
      <c r="M24" s="44">
        <f>'P&amp;L Input_Worksheet'!M32</f>
        <v>4.0629861367837333E-2</v>
      </c>
      <c r="N24" s="42"/>
      <c r="O24" s="47">
        <f>'P&amp;L Input_Worksheet'!O32</f>
        <v>6487.058314285714</v>
      </c>
      <c r="P24" s="44">
        <f>'P&amp;L Input_Worksheet'!P32</f>
        <v>3.4433935574866917E-2</v>
      </c>
      <c r="Q24" s="42"/>
      <c r="R24" s="47">
        <f t="shared" ref="R24" si="3">I24+L24+O24</f>
        <v>17476.117971428572</v>
      </c>
      <c r="S24" s="44">
        <f>R24/R$12</f>
        <v>3.8927761379257672E-2</v>
      </c>
    </row>
    <row r="25" spans="2:19" ht="3" customHeight="1" x14ac:dyDescent="0.2">
      <c r="B25" s="30"/>
      <c r="C25" s="39"/>
      <c r="D25" s="39"/>
      <c r="E25" s="39"/>
      <c r="F25" s="39"/>
      <c r="G25" s="39"/>
      <c r="H25" s="41"/>
      <c r="I25" s="47"/>
      <c r="J25" s="44"/>
      <c r="K25" s="42"/>
      <c r="L25" s="47"/>
      <c r="M25" s="44"/>
      <c r="N25" s="42"/>
      <c r="O25" s="47"/>
      <c r="P25" s="44"/>
      <c r="Q25" s="42"/>
      <c r="R25" s="47"/>
      <c r="S25" s="44"/>
    </row>
    <row r="26" spans="2:19" x14ac:dyDescent="0.2">
      <c r="B26" s="30"/>
      <c r="C26" s="39"/>
      <c r="D26" s="39"/>
      <c r="E26" s="39" t="s">
        <v>140</v>
      </c>
      <c r="F26" s="39"/>
      <c r="G26" s="39"/>
      <c r="H26" s="41"/>
      <c r="I26" s="45">
        <f>I22+I24</f>
        <v>40920.198847619053</v>
      </c>
      <c r="J26" s="46">
        <f t="shared" ref="J26" si="4">I26/I$12</f>
        <v>0.33698194387583041</v>
      </c>
      <c r="K26" s="42"/>
      <c r="L26" s="45">
        <f>L22+L24</f>
        <v>43235.52747619048</v>
      </c>
      <c r="M26" s="46">
        <f t="shared" ref="M26" si="5">L26/L$12</f>
        <v>0.31079142774012458</v>
      </c>
      <c r="N26" s="42"/>
      <c r="O26" s="45">
        <f>O22+O24</f>
        <v>49070.39164761905</v>
      </c>
      <c r="P26" s="46">
        <f t="shared" ref="P26" si="6">O26/O$12</f>
        <v>0.26047040472976729</v>
      </c>
      <c r="Q26" s="42"/>
      <c r="R26" s="45">
        <f>R22+R24</f>
        <v>133226.11797142858</v>
      </c>
      <c r="S26" s="46">
        <f t="shared" ref="S26" si="7">R26/R$12</f>
        <v>0.29675895632859833</v>
      </c>
    </row>
    <row r="27" spans="2:19" ht="3" customHeight="1" x14ac:dyDescent="0.2">
      <c r="B27" s="30"/>
      <c r="C27" s="39"/>
      <c r="D27" s="39"/>
      <c r="E27" s="49"/>
      <c r="F27" s="39"/>
      <c r="G27" s="39"/>
      <c r="H27" s="41"/>
      <c r="I27" s="47"/>
      <c r="J27" s="44"/>
      <c r="K27" s="42"/>
      <c r="L27" s="47"/>
      <c r="M27" s="44"/>
      <c r="N27" s="42"/>
      <c r="O27" s="47"/>
      <c r="P27" s="44"/>
      <c r="Q27" s="42"/>
      <c r="R27" s="47"/>
      <c r="S27" s="44"/>
    </row>
    <row r="28" spans="2:19" ht="15.75" x14ac:dyDescent="0.2">
      <c r="B28" s="30"/>
      <c r="C28" s="52"/>
      <c r="D28" s="52"/>
      <c r="E28" s="53" t="s">
        <v>141</v>
      </c>
      <c r="F28" s="54"/>
      <c r="G28" s="55"/>
      <c r="H28" s="56"/>
      <c r="I28" s="57">
        <f>I26+I17</f>
        <v>80544.398847619042</v>
      </c>
      <c r="J28" s="58">
        <f>I28/I$12</f>
        <v>0.66329120718728185</v>
      </c>
      <c r="K28" s="42"/>
      <c r="L28" s="57">
        <f>L26+L17</f>
        <v>86981.527476190488</v>
      </c>
      <c r="M28" s="58">
        <f>L28/L$12</f>
        <v>0.62525230266310672</v>
      </c>
      <c r="N28" s="42"/>
      <c r="O28" s="57">
        <f>O26+O17</f>
        <v>105434.59164761906</v>
      </c>
      <c r="P28" s="58">
        <f>O28/O$12</f>
        <v>0.55965705259060416</v>
      </c>
      <c r="Q28" s="42"/>
      <c r="R28" s="57">
        <f>R26+R17</f>
        <v>272960.51797142858</v>
      </c>
      <c r="S28" s="58">
        <f>R28/R$12</f>
        <v>0.60801500235476802</v>
      </c>
    </row>
    <row r="29" spans="2:19" ht="3" customHeight="1" x14ac:dyDescent="0.2">
      <c r="B29" s="30"/>
      <c r="C29" s="39"/>
      <c r="D29" s="39"/>
      <c r="E29" s="49"/>
      <c r="F29" s="39"/>
      <c r="G29" s="39"/>
      <c r="H29" s="41"/>
      <c r="I29" s="47"/>
      <c r="J29" s="44"/>
      <c r="K29" s="42"/>
      <c r="L29" s="47"/>
      <c r="M29" s="44"/>
      <c r="N29" s="42"/>
      <c r="O29" s="47"/>
      <c r="P29" s="44"/>
      <c r="Q29" s="42"/>
      <c r="R29" s="47"/>
      <c r="S29" s="44"/>
    </row>
    <row r="30" spans="2:19" ht="15.75" x14ac:dyDescent="0.2">
      <c r="B30" s="30"/>
      <c r="C30" s="48" t="s">
        <v>179</v>
      </c>
      <c r="D30" s="39"/>
      <c r="E30" s="49"/>
      <c r="F30" s="39"/>
      <c r="G30" s="39"/>
      <c r="H30" s="41"/>
      <c r="I30" s="47"/>
      <c r="J30" s="44"/>
      <c r="K30" s="42"/>
      <c r="L30" s="47"/>
      <c r="M30" s="44"/>
      <c r="N30" s="42"/>
      <c r="O30" s="47"/>
      <c r="P30" s="44"/>
      <c r="Q30" s="42"/>
      <c r="R30" s="47"/>
      <c r="S30" s="44"/>
    </row>
    <row r="31" spans="2:19" x14ac:dyDescent="0.2">
      <c r="B31" s="30"/>
      <c r="C31" s="39"/>
      <c r="D31" s="39" t="s">
        <v>142</v>
      </c>
      <c r="E31" s="39"/>
      <c r="F31" s="39"/>
      <c r="G31" s="39"/>
      <c r="H31" s="41"/>
      <c r="I31" s="47">
        <f>'P&amp;L Input_Worksheet'!I50</f>
        <v>4800</v>
      </c>
      <c r="J31" s="44">
        <f t="shared" ref="J31:J41" si="8">I31/I$12</f>
        <v>3.9528481682783938E-2</v>
      </c>
      <c r="K31" s="42"/>
      <c r="L31" s="47">
        <f>'P&amp;L Input_Worksheet'!L50</f>
        <v>4800</v>
      </c>
      <c r="M31" s="44">
        <f t="shared" ref="M31" si="9">L31/L$12</f>
        <v>3.4504004929143559E-2</v>
      </c>
      <c r="N31" s="42"/>
      <c r="O31" s="47">
        <f>'P&amp;L Input_Worksheet'!O50</f>
        <v>4800</v>
      </c>
      <c r="P31" s="44">
        <f t="shared" ref="P31" si="10">O31/O$12</f>
        <v>2.5478866190454523E-2</v>
      </c>
      <c r="Q31" s="42"/>
      <c r="R31" s="47">
        <f t="shared" ref="R31" si="11">I31+L31+O31</f>
        <v>14400</v>
      </c>
      <c r="S31" s="44">
        <f>R31/R$12</f>
        <v>3.2075759890025965E-2</v>
      </c>
    </row>
    <row r="32" spans="2:19" ht="3" customHeight="1" x14ac:dyDescent="0.2">
      <c r="B32" s="30"/>
      <c r="C32" s="39"/>
      <c r="D32" s="39"/>
      <c r="E32" s="39"/>
      <c r="F32" s="39"/>
      <c r="G32" s="39"/>
      <c r="H32" s="41"/>
      <c r="I32" s="47"/>
      <c r="J32" s="44"/>
      <c r="K32" s="42"/>
      <c r="L32" s="47"/>
      <c r="M32" s="44"/>
      <c r="N32" s="42"/>
      <c r="O32" s="47"/>
      <c r="P32" s="44"/>
      <c r="Q32" s="42"/>
      <c r="R32" s="47"/>
      <c r="S32" s="44"/>
    </row>
    <row r="33" spans="2:19" x14ac:dyDescent="0.2">
      <c r="B33" s="30"/>
      <c r="C33" s="39"/>
      <c r="D33" s="39" t="s">
        <v>76</v>
      </c>
      <c r="E33" s="39"/>
      <c r="F33" s="39"/>
      <c r="G33" s="39"/>
      <c r="H33" s="41"/>
      <c r="I33" s="47">
        <f>'P&amp;L Input_Worksheet'!I55</f>
        <v>250</v>
      </c>
      <c r="J33" s="44">
        <f t="shared" si="8"/>
        <v>2.0587750876449968E-3</v>
      </c>
      <c r="K33" s="42"/>
      <c r="L33" s="47">
        <f>'P&amp;L Input_Worksheet'!L55</f>
        <v>250</v>
      </c>
      <c r="M33" s="44">
        <f t="shared" ref="M33" si="12">L33/L$12</f>
        <v>1.7970835900595601E-3</v>
      </c>
      <c r="N33" s="42"/>
      <c r="O33" s="47">
        <f>'P&amp;L Input_Worksheet'!O55</f>
        <v>250</v>
      </c>
      <c r="P33" s="44">
        <f t="shared" ref="P33" si="13">O33/O$12</f>
        <v>1.3270242807528398E-3</v>
      </c>
      <c r="Q33" s="42"/>
      <c r="R33" s="47">
        <f t="shared" ref="R33" si="14">I33+L33+O33</f>
        <v>750</v>
      </c>
      <c r="S33" s="44">
        <f t="shared" ref="S33:S41" si="15">R33/R$12</f>
        <v>1.6706124942721856E-3</v>
      </c>
    </row>
    <row r="34" spans="2:19" ht="3" customHeight="1" x14ac:dyDescent="0.2">
      <c r="B34" s="30"/>
      <c r="C34" s="39"/>
      <c r="D34" s="39"/>
      <c r="E34" s="39"/>
      <c r="F34" s="39"/>
      <c r="G34" s="39"/>
      <c r="H34" s="41"/>
      <c r="I34" s="47"/>
      <c r="J34" s="44"/>
      <c r="K34" s="42"/>
      <c r="L34" s="47"/>
      <c r="M34" s="44"/>
      <c r="N34" s="42"/>
      <c r="O34" s="47"/>
      <c r="P34" s="44"/>
      <c r="Q34" s="42"/>
      <c r="R34" s="47"/>
      <c r="S34" s="44"/>
    </row>
    <row r="35" spans="2:19" x14ac:dyDescent="0.2">
      <c r="B35" s="30"/>
      <c r="C35" s="39"/>
      <c r="D35" s="39" t="s">
        <v>168</v>
      </c>
      <c r="E35" s="39"/>
      <c r="F35" s="39"/>
      <c r="G35" s="39"/>
      <c r="H35" s="41"/>
      <c r="I35" s="47">
        <f>'P&amp;L Input_Worksheet'!I62</f>
        <v>1500</v>
      </c>
      <c r="J35" s="44">
        <f t="shared" si="8"/>
        <v>1.2352650525869981E-2</v>
      </c>
      <c r="K35" s="42"/>
      <c r="L35" s="47">
        <f>'P&amp;L Input_Worksheet'!L62</f>
        <v>1500</v>
      </c>
      <c r="M35" s="44">
        <f t="shared" ref="M35" si="16">L35/L$12</f>
        <v>1.0782501540357361E-2</v>
      </c>
      <c r="N35" s="42"/>
      <c r="O35" s="47">
        <f>'P&amp;L Input_Worksheet'!O62</f>
        <v>1500</v>
      </c>
      <c r="P35" s="44">
        <f t="shared" ref="P35" si="17">O35/O$12</f>
        <v>7.9621456845170389E-3</v>
      </c>
      <c r="Q35" s="42"/>
      <c r="R35" s="47">
        <f t="shared" ref="R35" si="18">I35+L35+O35</f>
        <v>4500</v>
      </c>
      <c r="S35" s="44">
        <f t="shared" si="15"/>
        <v>1.0023674965633113E-2</v>
      </c>
    </row>
    <row r="36" spans="2:19" ht="3" customHeight="1" x14ac:dyDescent="0.2">
      <c r="B36" s="30"/>
      <c r="C36" s="39"/>
      <c r="D36" s="39"/>
      <c r="E36" s="39"/>
      <c r="F36" s="39"/>
      <c r="G36" s="39"/>
      <c r="H36" s="41"/>
      <c r="I36" s="47"/>
      <c r="J36" s="44"/>
      <c r="K36" s="42"/>
      <c r="L36" s="47"/>
      <c r="M36" s="44"/>
      <c r="N36" s="42"/>
      <c r="O36" s="47"/>
      <c r="P36" s="44"/>
      <c r="Q36" s="42"/>
      <c r="R36" s="47"/>
      <c r="S36" s="44"/>
    </row>
    <row r="37" spans="2:19" x14ac:dyDescent="0.2">
      <c r="B37" s="30"/>
      <c r="C37" s="39"/>
      <c r="D37" s="39" t="s">
        <v>169</v>
      </c>
      <c r="E37" s="39"/>
      <c r="F37" s="39"/>
      <c r="G37" s="39"/>
      <c r="H37" s="41"/>
      <c r="I37" s="47">
        <f>'P&amp;L Input_Worksheet'!I69</f>
        <v>4800</v>
      </c>
      <c r="J37" s="44">
        <f t="shared" si="8"/>
        <v>3.9528481682783938E-2</v>
      </c>
      <c r="K37" s="42"/>
      <c r="L37" s="47">
        <f>'P&amp;L Input_Worksheet'!L69</f>
        <v>4800</v>
      </c>
      <c r="M37" s="44">
        <f t="shared" ref="M37" si="19">L37/L$12</f>
        <v>3.4504004929143559E-2</v>
      </c>
      <c r="N37" s="42"/>
      <c r="O37" s="47">
        <f>'P&amp;L Input_Worksheet'!O69</f>
        <v>4800</v>
      </c>
      <c r="P37" s="44">
        <f t="shared" ref="P37" si="20">O37/O$12</f>
        <v>2.5478866190454523E-2</v>
      </c>
      <c r="Q37" s="42"/>
      <c r="R37" s="47">
        <f t="shared" ref="R37" si="21">I37+L37+O37</f>
        <v>14400</v>
      </c>
      <c r="S37" s="44">
        <f t="shared" si="15"/>
        <v>3.2075759890025965E-2</v>
      </c>
    </row>
    <row r="38" spans="2:19" ht="3" customHeight="1" x14ac:dyDescent="0.2">
      <c r="B38" s="30"/>
      <c r="C38" s="39"/>
      <c r="D38" s="39"/>
      <c r="E38" s="39"/>
      <c r="F38" s="39"/>
      <c r="G38" s="39"/>
      <c r="H38" s="41"/>
      <c r="I38" s="47"/>
      <c r="J38" s="44"/>
      <c r="K38" s="42"/>
      <c r="L38" s="47"/>
      <c r="M38" s="44"/>
      <c r="N38" s="42"/>
      <c r="O38" s="47"/>
      <c r="P38" s="44"/>
      <c r="Q38" s="42"/>
      <c r="R38" s="47"/>
      <c r="S38" s="44">
        <f t="shared" si="15"/>
        <v>0</v>
      </c>
    </row>
    <row r="39" spans="2:19" x14ac:dyDescent="0.2">
      <c r="B39" s="30"/>
      <c r="C39" s="39"/>
      <c r="D39" s="39" t="s">
        <v>180</v>
      </c>
      <c r="E39" s="39"/>
      <c r="F39" s="39"/>
      <c r="G39" s="39"/>
      <c r="H39" s="41"/>
      <c r="I39" s="47">
        <f>'P&amp;L Input_Worksheet'!I86</f>
        <v>6445.7228571428577</v>
      </c>
      <c r="J39" s="44">
        <f t="shared" si="8"/>
        <v>5.3081174560598583E-2</v>
      </c>
      <c r="K39" s="42"/>
      <c r="L39" s="47">
        <f>'P&amp;L Input_Worksheet'!L86</f>
        <v>6860.2285714285708</v>
      </c>
      <c r="M39" s="44">
        <f t="shared" ref="M39" si="22">L39/L$12</f>
        <v>4.9313616759088096E-2</v>
      </c>
      <c r="N39" s="42"/>
      <c r="O39" s="47">
        <f>'P&amp;L Input_Worksheet'!O86</f>
        <v>8052.7628571428559</v>
      </c>
      <c r="P39" s="44">
        <f t="shared" ref="P39" si="23">O39/O$12</f>
        <v>4.2744847354292723E-2</v>
      </c>
      <c r="Q39" s="42"/>
      <c r="R39" s="47">
        <f t="shared" ref="R39" si="24">I39+L39+O39</f>
        <v>21358.714285714283</v>
      </c>
      <c r="S39" s="44">
        <f t="shared" si="15"/>
        <v>4.7576179929738803E-2</v>
      </c>
    </row>
    <row r="40" spans="2:19" ht="3" customHeight="1" x14ac:dyDescent="0.2">
      <c r="B40" s="30"/>
      <c r="C40" s="39"/>
      <c r="D40" s="39"/>
      <c r="E40" s="39"/>
      <c r="F40" s="39"/>
      <c r="G40" s="39"/>
      <c r="H40" s="41"/>
      <c r="I40" s="47"/>
      <c r="J40" s="44"/>
      <c r="K40" s="42"/>
      <c r="L40" s="47"/>
      <c r="M40" s="44"/>
      <c r="N40" s="42"/>
      <c r="O40" s="47"/>
      <c r="P40" s="44"/>
      <c r="Q40" s="42"/>
      <c r="R40" s="47"/>
      <c r="S40" s="44"/>
    </row>
    <row r="41" spans="2:19" x14ac:dyDescent="0.2">
      <c r="B41" s="30"/>
      <c r="C41" s="39"/>
      <c r="D41" s="39" t="s">
        <v>55</v>
      </c>
      <c r="E41" s="39"/>
      <c r="F41" s="39"/>
      <c r="G41" s="39"/>
      <c r="H41" s="41"/>
      <c r="I41" s="47">
        <f>'P&amp;L Input_Worksheet'!I92</f>
        <v>1800</v>
      </c>
      <c r="J41" s="44">
        <f t="shared" si="8"/>
        <v>1.4823180631043976E-2</v>
      </c>
      <c r="K41" s="42"/>
      <c r="L41" s="47">
        <f>'P&amp;L Input_Worksheet'!L92</f>
        <v>1800</v>
      </c>
      <c r="M41" s="44">
        <f t="shared" ref="M41" si="25">L41/L$12</f>
        <v>1.2939001848428833E-2</v>
      </c>
      <c r="N41" s="42"/>
      <c r="O41" s="47">
        <f>'P&amp;L Input_Worksheet'!O92</f>
        <v>1800</v>
      </c>
      <c r="P41" s="44">
        <f t="shared" ref="P41" si="26">O41/O$12</f>
        <v>9.554574821420447E-3</v>
      </c>
      <c r="Q41" s="42"/>
      <c r="R41" s="47">
        <f t="shared" ref="R41" si="27">I41+L41+O41</f>
        <v>5400</v>
      </c>
      <c r="S41" s="44">
        <f t="shared" si="15"/>
        <v>1.2028409958759737E-2</v>
      </c>
    </row>
    <row r="42" spans="2:19" ht="3" customHeight="1" x14ac:dyDescent="0.2">
      <c r="B42" s="30"/>
      <c r="C42" s="39"/>
      <c r="D42" s="39"/>
      <c r="E42" s="39"/>
      <c r="F42" s="39"/>
      <c r="G42" s="39"/>
      <c r="H42" s="41"/>
      <c r="I42" s="47"/>
      <c r="J42" s="44"/>
      <c r="K42" s="42"/>
      <c r="L42" s="47"/>
      <c r="M42" s="44"/>
      <c r="N42" s="42"/>
      <c r="O42" s="47"/>
      <c r="P42" s="44"/>
      <c r="Q42" s="42"/>
      <c r="R42" s="47"/>
      <c r="S42" s="44"/>
    </row>
    <row r="43" spans="2:19" ht="15.75" x14ac:dyDescent="0.2">
      <c r="B43" s="30"/>
      <c r="C43" s="52"/>
      <c r="D43" s="59"/>
      <c r="E43" s="60" t="s">
        <v>149</v>
      </c>
      <c r="F43" s="60"/>
      <c r="G43" s="55"/>
      <c r="H43" s="56"/>
      <c r="I43" s="61">
        <f>I19-I26-I31-I33-I35-I37-I39-I41</f>
        <v>21291.306866666659</v>
      </c>
      <c r="J43" s="58">
        <f>I43/I$12</f>
        <v>0.17533604864199268</v>
      </c>
      <c r="K43" s="62"/>
      <c r="L43" s="61">
        <f>L19-L26-L31-L33-L35-L37-L39-L41</f>
        <v>32122.529666666691</v>
      </c>
      <c r="M43" s="58">
        <f>L43/L$12</f>
        <v>0.23090748374067241</v>
      </c>
      <c r="N43" s="62"/>
      <c r="O43" s="61">
        <f>O19-O26-O31-O33-O35-O37-O39-O41</f>
        <v>61754.074066666661</v>
      </c>
      <c r="P43" s="58">
        <f>O43/O$12</f>
        <v>0.32779662288750366</v>
      </c>
      <c r="Q43" s="62"/>
      <c r="R43" s="61">
        <f t="shared" ref="R43" si="28">I43+L43+O43</f>
        <v>115167.9106</v>
      </c>
      <c r="S43" s="58">
        <f>R43/R$12</f>
        <v>0.25653460051677612</v>
      </c>
    </row>
    <row r="44" spans="2:19" ht="3" customHeight="1" x14ac:dyDescent="0.2">
      <c r="B44" s="30"/>
      <c r="C44" s="39"/>
      <c r="D44" s="39"/>
      <c r="E44" s="39"/>
      <c r="F44" s="39"/>
      <c r="G44" s="39"/>
      <c r="H44" s="39"/>
      <c r="I44" s="39"/>
      <c r="J44" s="39"/>
      <c r="K44" s="39"/>
      <c r="L44" s="39"/>
      <c r="M44" s="39"/>
      <c r="N44" s="39"/>
      <c r="O44" s="39"/>
      <c r="P44" s="39"/>
      <c r="Q44" s="39"/>
      <c r="R44" s="39"/>
      <c r="S44" s="39"/>
    </row>
    <row r="45" spans="2:19" ht="15.75" x14ac:dyDescent="0.2">
      <c r="B45" s="30"/>
      <c r="C45" s="48" t="s">
        <v>150</v>
      </c>
      <c r="D45" s="39"/>
      <c r="E45" s="39"/>
      <c r="F45" s="39"/>
      <c r="G45" s="39"/>
      <c r="H45" s="39"/>
      <c r="I45" s="39"/>
      <c r="J45" s="39"/>
      <c r="K45" s="39"/>
      <c r="L45" s="39"/>
      <c r="M45" s="39"/>
      <c r="N45" s="39"/>
      <c r="O45" s="39"/>
      <c r="P45" s="39"/>
      <c r="Q45" s="39"/>
      <c r="R45" s="39"/>
      <c r="S45" s="39"/>
    </row>
    <row r="46" spans="2:19" x14ac:dyDescent="0.2">
      <c r="B46" s="30"/>
      <c r="C46" s="39"/>
      <c r="D46" s="39" t="s">
        <v>26</v>
      </c>
      <c r="E46" s="39"/>
      <c r="F46" s="39"/>
      <c r="G46" s="39"/>
      <c r="H46" s="39"/>
      <c r="I46" s="47">
        <f>'P&amp;L Input_Worksheet'!I105</f>
        <v>13400</v>
      </c>
      <c r="J46" s="44">
        <f t="shared" ref="J46" si="29">I46/I$12</f>
        <v>0.11035034469777183</v>
      </c>
      <c r="K46" s="42"/>
      <c r="L46" s="47">
        <f>'P&amp;L Input_Worksheet'!L105</f>
        <v>13400</v>
      </c>
      <c r="M46" s="44">
        <f t="shared" ref="M46" si="30">L46/L$12</f>
        <v>9.6323680427192429E-2</v>
      </c>
      <c r="N46" s="42"/>
      <c r="O46" s="47">
        <f>'P&amp;L Input_Worksheet'!O105</f>
        <v>13400</v>
      </c>
      <c r="P46" s="44">
        <f t="shared" ref="P46" si="31">O46/O$12</f>
        <v>7.1128501448352213E-2</v>
      </c>
      <c r="Q46" s="42"/>
      <c r="R46" s="47">
        <f t="shared" ref="R46" si="32">I46+L46+O46</f>
        <v>40200</v>
      </c>
      <c r="S46" s="44">
        <f t="shared" ref="S46:S53" si="33">R46/R$12</f>
        <v>8.9544829692989145E-2</v>
      </c>
    </row>
    <row r="47" spans="2:19" ht="3" customHeight="1" x14ac:dyDescent="0.2">
      <c r="B47" s="30"/>
      <c r="C47" s="39"/>
      <c r="D47" s="39"/>
      <c r="E47" s="39"/>
      <c r="F47" s="39"/>
      <c r="G47" s="39"/>
      <c r="H47" s="41"/>
      <c r="I47" s="47"/>
      <c r="J47" s="44"/>
      <c r="K47" s="42"/>
      <c r="L47" s="47"/>
      <c r="M47" s="44"/>
      <c r="N47" s="42"/>
      <c r="O47" s="47"/>
      <c r="P47" s="44"/>
      <c r="Q47" s="42"/>
      <c r="R47" s="47"/>
      <c r="S47" s="44">
        <f t="shared" si="33"/>
        <v>0</v>
      </c>
    </row>
    <row r="48" spans="2:19" x14ac:dyDescent="0.2">
      <c r="B48" s="30"/>
      <c r="C48" s="39"/>
      <c r="D48" s="39" t="s">
        <v>164</v>
      </c>
      <c r="E48" s="39"/>
      <c r="F48" s="39"/>
      <c r="G48" s="39"/>
      <c r="H48" s="39"/>
      <c r="I48" s="47">
        <f>'P&amp;L Input_Worksheet'!I112</f>
        <v>600</v>
      </c>
      <c r="J48" s="44">
        <f>I48/I$12</f>
        <v>4.9410602103479922E-3</v>
      </c>
      <c r="K48" s="42"/>
      <c r="L48" s="47">
        <f>'P&amp;L Input_Worksheet'!L112</f>
        <v>600</v>
      </c>
      <c r="M48" s="44">
        <f>L48/L$12</f>
        <v>4.3130006161429448E-3</v>
      </c>
      <c r="N48" s="42"/>
      <c r="O48" s="47">
        <f>'P&amp;L Input_Worksheet'!O112</f>
        <v>600</v>
      </c>
      <c r="P48" s="44">
        <f>O48/O$12</f>
        <v>3.1848582738068154E-3</v>
      </c>
      <c r="Q48" s="42"/>
      <c r="R48" s="47">
        <f t="shared" ref="R48" si="34">I48+L48+O48</f>
        <v>1800</v>
      </c>
      <c r="S48" s="44">
        <f t="shared" si="33"/>
        <v>4.0094699862532456E-3</v>
      </c>
    </row>
    <row r="49" spans="2:19" ht="3" customHeight="1" x14ac:dyDescent="0.2">
      <c r="B49" s="30"/>
      <c r="C49" s="39"/>
      <c r="D49" s="39"/>
      <c r="E49" s="39"/>
      <c r="F49" s="39"/>
      <c r="G49" s="39"/>
      <c r="H49" s="41"/>
      <c r="I49" s="47"/>
      <c r="J49" s="44"/>
      <c r="K49" s="42"/>
      <c r="L49" s="47"/>
      <c r="M49" s="44"/>
      <c r="N49" s="42"/>
      <c r="O49" s="47"/>
      <c r="P49" s="44"/>
      <c r="Q49" s="42"/>
      <c r="R49" s="47"/>
      <c r="S49" s="44">
        <f t="shared" si="33"/>
        <v>0</v>
      </c>
    </row>
    <row r="50" spans="2:19" hidden="1" x14ac:dyDescent="0.2">
      <c r="B50" s="30"/>
      <c r="C50" s="39"/>
      <c r="D50" s="39"/>
      <c r="E50" s="39" t="s">
        <v>157</v>
      </c>
      <c r="F50" s="39"/>
      <c r="G50" s="39"/>
      <c r="H50" s="39"/>
      <c r="I50" s="50">
        <f>I48+I46</f>
        <v>14000</v>
      </c>
      <c r="J50" s="51">
        <f>I50/I$12</f>
        <v>0.11529140490811982</v>
      </c>
      <c r="K50" s="42"/>
      <c r="L50" s="50">
        <f>L48+L46</f>
        <v>14000</v>
      </c>
      <c r="M50" s="51">
        <f>L50/L$12</f>
        <v>0.10063668104333537</v>
      </c>
      <c r="N50" s="42"/>
      <c r="O50" s="50">
        <f>O48+O46</f>
        <v>14000</v>
      </c>
      <c r="P50" s="51">
        <f>O50/O$12</f>
        <v>7.4313359722159023E-2</v>
      </c>
      <c r="Q50" s="42"/>
      <c r="R50" s="50">
        <f t="shared" ref="R50" si="35">I50+L50+O50</f>
        <v>42000</v>
      </c>
      <c r="S50" s="51">
        <f t="shared" si="33"/>
        <v>9.3554299679242392E-2</v>
      </c>
    </row>
    <row r="51" spans="2:19" ht="8.25" hidden="1" customHeight="1" x14ac:dyDescent="0.2">
      <c r="B51" s="30"/>
      <c r="C51" s="39"/>
      <c r="D51" s="39"/>
      <c r="E51" s="39"/>
      <c r="F51" s="39"/>
      <c r="G51" s="39"/>
      <c r="H51" s="39"/>
      <c r="I51" s="39"/>
      <c r="J51" s="39"/>
      <c r="K51" s="39"/>
      <c r="L51" s="39"/>
      <c r="M51" s="39"/>
      <c r="N51" s="39"/>
      <c r="O51" s="39"/>
      <c r="P51" s="39"/>
      <c r="Q51" s="39"/>
      <c r="R51" s="39"/>
      <c r="S51" s="39">
        <f t="shared" si="33"/>
        <v>0</v>
      </c>
    </row>
    <row r="52" spans="2:19" ht="3" hidden="1" customHeight="1" x14ac:dyDescent="0.2">
      <c r="B52" s="30"/>
      <c r="C52" s="39"/>
      <c r="D52" s="39"/>
      <c r="E52" s="39"/>
      <c r="F52" s="39"/>
      <c r="G52" s="39"/>
      <c r="H52" s="39"/>
      <c r="I52" s="39"/>
      <c r="J52" s="39"/>
      <c r="K52" s="39"/>
      <c r="L52" s="39"/>
      <c r="M52" s="39"/>
      <c r="N52" s="39"/>
      <c r="O52" s="39"/>
      <c r="P52" s="39"/>
      <c r="Q52" s="39"/>
      <c r="R52" s="39"/>
      <c r="S52" s="39">
        <f t="shared" si="33"/>
        <v>0</v>
      </c>
    </row>
    <row r="53" spans="2:19" x14ac:dyDescent="0.2">
      <c r="B53" s="30"/>
      <c r="C53" s="39"/>
      <c r="D53" s="39" t="s">
        <v>214</v>
      </c>
      <c r="E53" s="39"/>
      <c r="F53" s="39"/>
      <c r="G53" s="39"/>
      <c r="H53" s="39"/>
      <c r="I53" s="47">
        <f>'P&amp;L Input_Worksheet'!I122</f>
        <v>350</v>
      </c>
      <c r="J53" s="44">
        <f t="shared" ref="J53" si="36">I53/I$12</f>
        <v>2.8822851227029954E-3</v>
      </c>
      <c r="K53" s="39"/>
      <c r="L53" s="47">
        <f>'P&amp;L Input_Worksheet'!L122</f>
        <v>350</v>
      </c>
      <c r="M53" s="44">
        <f t="shared" ref="M53" si="37">L53/L$12</f>
        <v>2.515917026083384E-3</v>
      </c>
      <c r="N53" s="39"/>
      <c r="O53" s="47">
        <f>'P&amp;L Input_Worksheet'!O122</f>
        <v>350</v>
      </c>
      <c r="P53" s="44">
        <f t="shared" ref="P53" si="38">O53/O$12</f>
        <v>1.8578339930539758E-3</v>
      </c>
      <c r="Q53" s="39"/>
      <c r="R53" s="47">
        <f t="shared" ref="R53" si="39">I53+L53+O53</f>
        <v>1050</v>
      </c>
      <c r="S53" s="44">
        <f t="shared" si="33"/>
        <v>2.3388574919810598E-3</v>
      </c>
    </row>
    <row r="54" spans="2:19" ht="3" customHeight="1" x14ac:dyDescent="0.2">
      <c r="B54" s="30"/>
      <c r="C54" s="39"/>
      <c r="D54" s="39"/>
      <c r="E54" s="39"/>
      <c r="F54" s="39"/>
      <c r="G54" s="39"/>
      <c r="H54" s="41"/>
      <c r="I54" s="47"/>
      <c r="J54" s="44"/>
      <c r="K54" s="42"/>
      <c r="L54" s="47"/>
      <c r="M54" s="44"/>
      <c r="N54" s="42"/>
      <c r="O54" s="47"/>
      <c r="P54" s="44"/>
      <c r="Q54" s="42"/>
      <c r="R54" s="47"/>
      <c r="S54" s="44"/>
    </row>
    <row r="55" spans="2:19" ht="6.75" customHeight="1" x14ac:dyDescent="0.2">
      <c r="B55" s="30"/>
      <c r="C55" s="39"/>
      <c r="D55" s="39"/>
      <c r="E55" s="39"/>
      <c r="F55" s="39"/>
      <c r="G55" s="39"/>
      <c r="H55" s="39"/>
      <c r="I55" s="39"/>
      <c r="J55" s="39"/>
      <c r="K55" s="39"/>
      <c r="L55" s="39"/>
      <c r="M55" s="39"/>
      <c r="N55" s="39"/>
      <c r="O55" s="39"/>
      <c r="P55" s="39"/>
      <c r="Q55" s="39"/>
      <c r="R55" s="39"/>
      <c r="S55" s="39"/>
    </row>
    <row r="56" spans="2:19" ht="16.5" thickBot="1" x14ac:dyDescent="0.25">
      <c r="B56" s="30"/>
      <c r="C56" s="60" t="s">
        <v>162</v>
      </c>
      <c r="D56" s="55"/>
      <c r="E56" s="55"/>
      <c r="F56" s="52"/>
      <c r="G56" s="52"/>
      <c r="H56" s="55"/>
      <c r="I56" s="63">
        <f>I43-I50-I53</f>
        <v>6941.3068666666586</v>
      </c>
      <c r="J56" s="64">
        <f>I56/I$12</f>
        <v>5.7162358611169868E-2</v>
      </c>
      <c r="K56" s="39"/>
      <c r="L56" s="63">
        <f>L43-L50-L53</f>
        <v>17772.529666666691</v>
      </c>
      <c r="M56" s="64">
        <f>L56/L$12</f>
        <v>0.12775488567125365</v>
      </c>
      <c r="N56" s="39"/>
      <c r="O56" s="63">
        <f>O43-O50-O53</f>
        <v>47404.074066666661</v>
      </c>
      <c r="P56" s="64">
        <f>O56/O$12</f>
        <v>0.25162542917229069</v>
      </c>
      <c r="Q56" s="39"/>
      <c r="R56" s="63">
        <f>R43-R50-R53</f>
        <v>72117.910600000003</v>
      </c>
      <c r="S56" s="64">
        <f>R56/R$12</f>
        <v>0.16064144334555266</v>
      </c>
    </row>
    <row r="57" spans="2:19" ht="6" customHeight="1" thickTop="1" x14ac:dyDescent="0.2">
      <c r="B57" s="30"/>
      <c r="C57" s="48"/>
      <c r="D57" s="39"/>
      <c r="E57" s="39"/>
      <c r="F57" s="30"/>
      <c r="G57" s="30"/>
      <c r="H57" s="39"/>
      <c r="I57" s="65"/>
      <c r="J57" s="66"/>
      <c r="K57" s="39"/>
      <c r="L57" s="65"/>
      <c r="M57" s="66"/>
      <c r="N57" s="39"/>
      <c r="O57" s="65"/>
      <c r="P57" s="66"/>
      <c r="Q57" s="39"/>
      <c r="R57" s="65"/>
      <c r="S57" s="66"/>
    </row>
    <row r="58" spans="2:19" hidden="1" x14ac:dyDescent="0.2">
      <c r="B58" s="30"/>
      <c r="C58" s="30"/>
      <c r="D58" s="30" t="s">
        <v>163</v>
      </c>
      <c r="E58" s="30"/>
      <c r="F58" s="30"/>
      <c r="G58" s="30"/>
      <c r="H58" s="30"/>
      <c r="I58" s="30"/>
      <c r="J58" s="30"/>
      <c r="K58" s="30"/>
      <c r="L58" s="30"/>
      <c r="M58" s="30"/>
      <c r="N58" s="30"/>
      <c r="O58" s="30"/>
      <c r="P58" s="30"/>
      <c r="Q58" s="30"/>
      <c r="R58" s="30"/>
      <c r="S58" s="30"/>
    </row>
    <row r="59" spans="2:19" hidden="1" x14ac:dyDescent="0.2">
      <c r="B59" s="30"/>
      <c r="C59" s="30"/>
      <c r="D59" s="30"/>
      <c r="E59" s="30" t="s">
        <v>164</v>
      </c>
      <c r="F59" s="30"/>
      <c r="G59" s="30"/>
      <c r="H59" s="30"/>
      <c r="I59" s="67" t="e">
        <f>#REF!</f>
        <v>#REF!</v>
      </c>
      <c r="J59" s="44" t="e">
        <f>I59/I$12</f>
        <v>#REF!</v>
      </c>
      <c r="K59" s="30"/>
      <c r="L59" s="67" t="e">
        <f>#REF!</f>
        <v>#REF!</v>
      </c>
      <c r="M59" s="44" t="e">
        <f>L59/L$12</f>
        <v>#REF!</v>
      </c>
      <c r="N59" s="30"/>
      <c r="O59" s="67" t="e">
        <f>#REF!</f>
        <v>#REF!</v>
      </c>
      <c r="P59" s="44" t="e">
        <f>O59/O$12</f>
        <v>#REF!</v>
      </c>
      <c r="Q59" s="30"/>
      <c r="R59" s="67" t="e">
        <f>#REF!</f>
        <v>#REF!</v>
      </c>
      <c r="S59" s="44" t="e">
        <f>R59/R$12</f>
        <v>#REF!</v>
      </c>
    </row>
    <row r="60" spans="2:19" ht="2.25" hidden="1" customHeight="1" x14ac:dyDescent="0.2">
      <c r="B60" s="30"/>
      <c r="C60" s="30"/>
      <c r="D60" s="30"/>
      <c r="E60" s="30"/>
      <c r="F60" s="30"/>
      <c r="G60" s="30"/>
      <c r="H60" s="30"/>
      <c r="I60" s="30"/>
      <c r="J60" s="30"/>
      <c r="K60" s="30"/>
      <c r="L60" s="30"/>
      <c r="M60" s="30"/>
      <c r="N60" s="30"/>
      <c r="O60" s="30"/>
      <c r="P60" s="30"/>
      <c r="Q60" s="30"/>
      <c r="R60" s="30"/>
      <c r="S60" s="30"/>
    </row>
    <row r="61" spans="2:19" hidden="1" x14ac:dyDescent="0.2">
      <c r="B61" s="30"/>
      <c r="C61" s="30"/>
      <c r="D61" s="30" t="s">
        <v>165</v>
      </c>
      <c r="E61" s="30"/>
      <c r="F61" s="30"/>
      <c r="G61" s="30"/>
      <c r="H61" s="30"/>
      <c r="I61" s="30"/>
      <c r="J61" s="30"/>
      <c r="K61" s="30"/>
      <c r="L61" s="30"/>
      <c r="M61" s="30"/>
      <c r="N61" s="30"/>
      <c r="O61" s="30"/>
      <c r="P61" s="30"/>
      <c r="Q61" s="30"/>
      <c r="R61" s="30"/>
      <c r="S61" s="30"/>
    </row>
    <row r="62" spans="2:19" hidden="1" x14ac:dyDescent="0.2">
      <c r="B62" s="30"/>
      <c r="C62" s="30"/>
      <c r="D62" s="30"/>
      <c r="E62" s="30" t="s">
        <v>166</v>
      </c>
      <c r="F62" s="30"/>
      <c r="G62" s="30"/>
      <c r="H62" s="30"/>
      <c r="I62" s="68">
        <v>-17911.404997139474</v>
      </c>
      <c r="J62" s="44">
        <f>I62/I$12</f>
        <v>-0.14750221757132342</v>
      </c>
      <c r="K62" s="30"/>
      <c r="L62" s="68">
        <v>0</v>
      </c>
      <c r="M62" s="44">
        <f>L62/L$12</f>
        <v>0</v>
      </c>
      <c r="N62" s="30"/>
      <c r="O62" s="68">
        <v>0</v>
      </c>
      <c r="P62" s="44">
        <f>O62/O$12</f>
        <v>0</v>
      </c>
      <c r="Q62" s="30"/>
      <c r="R62" s="68">
        <v>0</v>
      </c>
      <c r="S62" s="44">
        <f>R62/R$12</f>
        <v>0</v>
      </c>
    </row>
    <row r="63" spans="2:19" ht="4.5" hidden="1" customHeight="1" x14ac:dyDescent="0.2">
      <c r="B63" s="30"/>
      <c r="C63" s="30"/>
      <c r="D63" s="30"/>
      <c r="E63" s="30"/>
      <c r="F63" s="30"/>
      <c r="G63" s="30"/>
      <c r="H63" s="30"/>
      <c r="I63" s="30"/>
      <c r="J63" s="69"/>
      <c r="K63" s="30"/>
      <c r="L63" s="30"/>
      <c r="M63" s="69"/>
      <c r="N63" s="30"/>
      <c r="O63" s="30"/>
      <c r="P63" s="69"/>
      <c r="Q63" s="30"/>
      <c r="R63" s="30"/>
      <c r="S63" s="69"/>
    </row>
    <row r="64" spans="2:19" ht="16.5" hidden="1" thickBot="1" x14ac:dyDescent="0.25">
      <c r="B64" s="30"/>
      <c r="C64" s="60" t="s">
        <v>167</v>
      </c>
      <c r="D64" s="55"/>
      <c r="E64" s="55"/>
      <c r="F64" s="52"/>
      <c r="G64" s="52"/>
      <c r="H64" s="55"/>
      <c r="I64" s="70" t="e">
        <f>I56+I59+I62</f>
        <v>#REF!</v>
      </c>
      <c r="J64" s="71" t="e">
        <f>I64/I$12</f>
        <v>#REF!</v>
      </c>
      <c r="K64" s="39"/>
      <c r="L64" s="70" t="e">
        <f>L56+L59+L62</f>
        <v>#REF!</v>
      </c>
      <c r="M64" s="71" t="e">
        <f>L64/L$12</f>
        <v>#REF!</v>
      </c>
      <c r="N64" s="39"/>
      <c r="O64" s="70" t="e">
        <f>O56+O59+O62</f>
        <v>#REF!</v>
      </c>
      <c r="P64" s="71" t="e">
        <f>O64/O$12</f>
        <v>#REF!</v>
      </c>
      <c r="Q64" s="39"/>
      <c r="R64" s="70" t="e">
        <f>R56+R59+R62</f>
        <v>#REF!</v>
      </c>
      <c r="S64" s="71" t="e">
        <f>R64/R$12</f>
        <v>#REF!</v>
      </c>
    </row>
    <row r="65" spans="2:19" ht="3" customHeight="1" x14ac:dyDescent="0.2">
      <c r="B65" s="30"/>
      <c r="C65" s="30"/>
      <c r="D65" s="30"/>
      <c r="E65" s="30"/>
      <c r="F65" s="30"/>
      <c r="G65" s="30"/>
      <c r="H65" s="30"/>
      <c r="I65" s="30"/>
      <c r="J65" s="30"/>
      <c r="K65" s="30"/>
      <c r="L65" s="30"/>
      <c r="M65" s="30"/>
      <c r="N65" s="30"/>
      <c r="O65" s="30"/>
      <c r="P65" s="30"/>
      <c r="Q65" s="30"/>
      <c r="R65" s="30"/>
      <c r="S65" s="30"/>
    </row>
    <row r="66" spans="2:19" x14ac:dyDescent="0.2">
      <c r="B66" s="30"/>
      <c r="C66" s="30"/>
      <c r="D66" s="30"/>
      <c r="E66" s="30"/>
      <c r="F66" s="30"/>
      <c r="G66" s="30"/>
      <c r="H66" s="30"/>
      <c r="I66" s="30"/>
      <c r="J66" s="30"/>
      <c r="K66" s="30"/>
      <c r="L66" s="30"/>
      <c r="M66" s="30"/>
      <c r="N66" s="30"/>
      <c r="O66" s="30"/>
      <c r="P66" s="30"/>
      <c r="Q66" s="30"/>
      <c r="R66" s="30"/>
      <c r="S66" s="30"/>
    </row>
    <row r="67" spans="2:19" x14ac:dyDescent="0.2">
      <c r="B67" s="30"/>
      <c r="C67" s="30"/>
      <c r="D67" s="30"/>
      <c r="E67" s="30"/>
      <c r="F67" s="30"/>
      <c r="G67" s="30"/>
      <c r="H67" s="30"/>
      <c r="I67" s="30"/>
      <c r="J67" s="30"/>
      <c r="K67" s="30"/>
      <c r="L67" s="30"/>
      <c r="M67" s="30"/>
      <c r="N67" s="30"/>
      <c r="O67" s="30"/>
      <c r="P67" s="30"/>
      <c r="Q67" s="30"/>
      <c r="R67" s="30"/>
      <c r="S67" s="30"/>
    </row>
    <row r="68" spans="2:19" x14ac:dyDescent="0.2">
      <c r="B68" s="30"/>
      <c r="C68" s="30"/>
      <c r="D68" s="30"/>
      <c r="E68" s="30"/>
      <c r="F68" s="30"/>
      <c r="G68" s="30"/>
      <c r="H68" s="30"/>
      <c r="I68" s="30"/>
      <c r="J68" s="30"/>
      <c r="K68" s="30"/>
      <c r="L68" s="30"/>
      <c r="M68" s="30"/>
      <c r="N68" s="30"/>
      <c r="O68" s="30"/>
      <c r="P68" s="30"/>
      <c r="Q68" s="30"/>
      <c r="R68" s="30"/>
      <c r="S68" s="30"/>
    </row>
    <row r="69" spans="2:19" x14ac:dyDescent="0.2">
      <c r="B69" s="30"/>
      <c r="C69" s="30"/>
      <c r="D69" s="30"/>
      <c r="E69" s="30"/>
      <c r="F69" s="30"/>
      <c r="G69" s="30"/>
      <c r="H69" s="30"/>
      <c r="I69" s="30"/>
      <c r="J69" s="30"/>
      <c r="K69" s="30"/>
      <c r="L69" s="30"/>
      <c r="M69" s="30"/>
      <c r="N69" s="30"/>
      <c r="O69" s="30"/>
      <c r="P69" s="30"/>
      <c r="Q69" s="30"/>
      <c r="R69" s="30"/>
      <c r="S69" s="30"/>
    </row>
    <row r="70" spans="2:19" x14ac:dyDescent="0.2">
      <c r="B70" s="30"/>
      <c r="C70" s="30"/>
      <c r="D70" s="30"/>
      <c r="E70" s="30"/>
      <c r="F70" s="30"/>
      <c r="G70" s="30"/>
      <c r="H70" s="30"/>
      <c r="I70" s="30"/>
      <c r="J70" s="30"/>
      <c r="K70" s="30"/>
      <c r="L70" s="30"/>
      <c r="M70" s="30"/>
      <c r="N70" s="30"/>
      <c r="O70" s="30"/>
      <c r="P70" s="30"/>
      <c r="Q70" s="30"/>
      <c r="R70" s="30"/>
      <c r="S70" s="30"/>
    </row>
    <row r="71" spans="2:19" x14ac:dyDescent="0.2">
      <c r="B71" s="30"/>
      <c r="C71" s="30"/>
      <c r="D71" s="30"/>
      <c r="E71" s="30"/>
      <c r="F71" s="30"/>
      <c r="G71" s="30"/>
      <c r="H71" s="30"/>
      <c r="I71" s="30"/>
      <c r="J71" s="30"/>
      <c r="K71" s="30"/>
      <c r="L71" s="30"/>
      <c r="M71" s="30"/>
      <c r="N71" s="30"/>
      <c r="O71" s="30"/>
      <c r="P71" s="30"/>
      <c r="Q71" s="30"/>
      <c r="R71" s="30"/>
      <c r="S71" s="30"/>
    </row>
    <row r="72" spans="2:19" x14ac:dyDescent="0.2">
      <c r="B72" s="30"/>
      <c r="C72" s="30"/>
      <c r="D72" s="30"/>
      <c r="E72" s="30"/>
      <c r="F72" s="30"/>
      <c r="G72" s="30"/>
      <c r="H72" s="30"/>
      <c r="I72" s="30"/>
      <c r="J72" s="30"/>
      <c r="K72" s="30"/>
      <c r="L72" s="30"/>
      <c r="M72" s="30"/>
      <c r="N72" s="30"/>
      <c r="O72" s="30"/>
      <c r="P72" s="30"/>
      <c r="Q72" s="30"/>
      <c r="R72" s="30"/>
      <c r="S72" s="30"/>
    </row>
    <row r="73" spans="2:19" x14ac:dyDescent="0.2">
      <c r="B73" s="30"/>
      <c r="C73" s="30"/>
      <c r="D73" s="30"/>
      <c r="E73" s="30"/>
      <c r="F73" s="30"/>
      <c r="G73" s="30"/>
      <c r="H73" s="30"/>
      <c r="I73" s="30"/>
      <c r="J73" s="30"/>
      <c r="K73" s="30"/>
      <c r="L73" s="30"/>
      <c r="M73" s="30"/>
      <c r="N73" s="30"/>
      <c r="O73" s="30"/>
      <c r="P73" s="30"/>
      <c r="Q73" s="30"/>
      <c r="R73" s="30"/>
      <c r="S73" s="30"/>
    </row>
    <row r="74" spans="2:19" x14ac:dyDescent="0.2">
      <c r="B74" s="30"/>
      <c r="C74" s="30"/>
      <c r="D74" s="30"/>
      <c r="E74" s="30"/>
      <c r="F74" s="30"/>
      <c r="G74" s="30"/>
      <c r="H74" s="30"/>
      <c r="I74" s="30"/>
      <c r="J74" s="30"/>
      <c r="K74" s="30"/>
      <c r="L74" s="30"/>
      <c r="M74" s="30"/>
      <c r="N74" s="30"/>
      <c r="O74" s="30"/>
      <c r="P74" s="30"/>
      <c r="Q74" s="30"/>
      <c r="R74" s="30"/>
      <c r="S74" s="30"/>
    </row>
    <row r="75" spans="2:19" x14ac:dyDescent="0.2">
      <c r="B75" s="30"/>
      <c r="C75" s="30"/>
      <c r="D75" s="30"/>
      <c r="E75" s="30"/>
      <c r="F75" s="30"/>
      <c r="G75" s="30"/>
      <c r="H75" s="30"/>
      <c r="I75" s="30"/>
      <c r="J75" s="30"/>
      <c r="K75" s="30"/>
      <c r="L75" s="30"/>
      <c r="M75" s="30"/>
      <c r="N75" s="30"/>
      <c r="O75" s="30"/>
      <c r="P75" s="30"/>
      <c r="Q75" s="30"/>
      <c r="R75" s="30"/>
      <c r="S75" s="30"/>
    </row>
    <row r="76" spans="2:19" x14ac:dyDescent="0.2">
      <c r="B76" s="30"/>
      <c r="C76" s="30"/>
      <c r="D76" s="30"/>
      <c r="E76" s="30"/>
      <c r="F76" s="30"/>
      <c r="G76" s="30"/>
      <c r="H76" s="30"/>
      <c r="I76" s="30"/>
      <c r="J76" s="30"/>
      <c r="K76" s="30"/>
      <c r="L76" s="30"/>
      <c r="M76" s="30"/>
      <c r="N76" s="30"/>
      <c r="O76" s="30"/>
      <c r="P76" s="30"/>
      <c r="Q76" s="30"/>
      <c r="R76" s="30"/>
      <c r="S76" s="30"/>
    </row>
    <row r="77" spans="2:19" s="30" customFormat="1" x14ac:dyDescent="0.2"/>
    <row r="78" spans="2:19" s="30" customFormat="1" x14ac:dyDescent="0.2"/>
    <row r="79" spans="2:19" s="30" customFormat="1" x14ac:dyDescent="0.2"/>
    <row r="80" spans="2:19" s="30" customFormat="1" x14ac:dyDescent="0.2"/>
    <row r="81" s="30" customFormat="1" x14ac:dyDescent="0.2"/>
    <row r="82" s="30" customFormat="1" x14ac:dyDescent="0.2"/>
    <row r="83" s="30" customFormat="1" x14ac:dyDescent="0.2"/>
    <row r="84" s="30" customFormat="1" x14ac:dyDescent="0.2"/>
    <row r="85" s="30" customFormat="1" x14ac:dyDescent="0.2"/>
    <row r="86" s="30" customFormat="1" x14ac:dyDescent="0.2"/>
    <row r="87" s="30" customFormat="1" x14ac:dyDescent="0.2"/>
    <row r="88" s="30" customFormat="1" x14ac:dyDescent="0.2"/>
    <row r="89" s="30" customFormat="1" x14ac:dyDescent="0.2"/>
    <row r="90" s="30" customFormat="1" x14ac:dyDescent="0.2"/>
    <row r="91" s="30" customFormat="1" x14ac:dyDescent="0.2"/>
    <row r="92" s="30" customFormat="1" x14ac:dyDescent="0.2"/>
    <row r="93" s="30" customFormat="1" x14ac:dyDescent="0.2"/>
    <row r="94" s="30" customFormat="1" x14ac:dyDescent="0.2"/>
    <row r="95" s="30" customFormat="1" x14ac:dyDescent="0.2"/>
    <row r="96" s="30" customFormat="1" x14ac:dyDescent="0.2"/>
    <row r="97" s="30" customFormat="1" x14ac:dyDescent="0.2"/>
    <row r="98" s="30" customFormat="1" x14ac:dyDescent="0.2"/>
    <row r="99" s="30" customFormat="1" x14ac:dyDescent="0.2"/>
    <row r="100" s="30" customFormat="1" x14ac:dyDescent="0.2"/>
    <row r="101" s="30" customFormat="1" x14ac:dyDescent="0.2"/>
    <row r="102" s="30" customFormat="1" x14ac:dyDescent="0.2"/>
    <row r="103" s="30" customFormat="1" x14ac:dyDescent="0.2"/>
    <row r="104" s="30" customFormat="1" x14ac:dyDescent="0.2"/>
    <row r="105" s="30" customFormat="1" x14ac:dyDescent="0.2"/>
    <row r="106" s="30" customFormat="1" x14ac:dyDescent="0.2"/>
    <row r="107" s="30" customFormat="1" x14ac:dyDescent="0.2"/>
    <row r="108" s="30" customFormat="1" x14ac:dyDescent="0.2"/>
    <row r="109" s="30" customFormat="1" x14ac:dyDescent="0.2"/>
    <row r="110" s="30" customFormat="1" x14ac:dyDescent="0.2"/>
    <row r="111" s="30" customFormat="1" x14ac:dyDescent="0.2"/>
    <row r="112"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sheetData>
  <sheetProtection algorithmName="SHA-512" hashValue="YDP9nepLmuxDxKxgtZ87gK9yhmvHjMjdVqDW+S+VS1sBZYIlHC2AjI3/djo3NG4SD/Xw2TldzHIaNNBxEKlBrw==" saltValue="oOErhO91WPpF13nxu2hyBw==" spinCount="100000" sheet="1" selectLockedCells="1"/>
  <mergeCells count="7">
    <mergeCell ref="B1:S1"/>
    <mergeCell ref="B2:S2"/>
    <mergeCell ref="B3:S3"/>
    <mergeCell ref="I5:J5"/>
    <mergeCell ref="L5:M5"/>
    <mergeCell ref="O5:P5"/>
    <mergeCell ref="R5:S5"/>
  </mergeCells>
  <printOptions horizontalCentered="1"/>
  <pageMargins left="0" right="0" top="0.6" bottom="0.7" header="0.5" footer="0.5"/>
  <pageSetup scale="83" orientation="landscape" r:id="rId1"/>
  <headerFooter alignWithMargins="0">
    <oddHeader>&amp;L&amp;D</oddHeader>
    <oddFooter>&amp;LWorksheet: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Assumptions Worksheet</vt:lpstr>
      <vt:lpstr>Sales Forecast Worksheet</vt:lpstr>
      <vt:lpstr>P&amp;L Input_Worksheet</vt:lpstr>
      <vt:lpstr>P&amp;L-Summary View</vt:lpstr>
      <vt:lpstr>'Assumptions Worksheet'!Print_Area</vt:lpstr>
      <vt:lpstr>'P&amp;L Input_Worksheet'!Print_Area</vt:lpstr>
      <vt:lpstr>'P&amp;L-Summary View'!Print_Area</vt:lpstr>
      <vt:lpstr>'Sales Forecast Worksheet'!Print_Area</vt:lpstr>
      <vt:lpstr>'P&amp;L Input_Worksheet'!Print_Titles</vt:lpstr>
      <vt:lpstr>'P&amp;L-Summary View'!Print_Titles</vt:lpstr>
    </vt:vector>
  </TitlesOfParts>
  <Company>RestaurantOwner.com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QSR Financial Sample</dc:title>
  <dc:subject>QSR Financial Model - Sample</dc:subject>
  <dc:creator>Jim Laube</dc:creator>
  <dc:description>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dc:description>
  <cp:lastModifiedBy>Joe Erickson</cp:lastModifiedBy>
  <cp:lastPrinted>2020-05-09T14:17:04Z</cp:lastPrinted>
  <dcterms:created xsi:type="dcterms:W3CDTF">1998-06-26T18:35:15Z</dcterms:created>
  <dcterms:modified xsi:type="dcterms:W3CDTF">2020-05-09T15:20:59Z</dcterms:modified>
  <cp:category>THE CONTENT IN THIS TEMPLATE IS THE INTELLECTUAL PROPERTY OF RESTAURANTOWNER.COM AND IS REGISTERED UNDER THE COPYRIGHT REGISTRATION NUMBER TX 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2018 by RestaurantOwner.com</cp:category>
</cp:coreProperties>
</file>